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50" tabRatio="652" activeTab="8"/>
  </bookViews>
  <sheets>
    <sheet name="TT" sheetId="1" r:id="rId1"/>
    <sheet name="01" sheetId="2" state="hidden" r:id="rId2"/>
    <sheet name="PT01" sheetId="3" state="hidden" r:id="rId3"/>
    <sheet name="02" sheetId="4" state="hidden" r:id="rId4"/>
    <sheet name="02 (bỏ)" sheetId="5" state="hidden" r:id="rId5"/>
    <sheet name="PT02" sheetId="6" state="hidden" r:id="rId6"/>
    <sheet name="03" sheetId="7" state="hidden" r:id="rId7"/>
    <sheet name="03 (bỏ)" sheetId="8" state="hidden" r:id="rId8"/>
    <sheet name="04" sheetId="9" r:id="rId9"/>
    <sheet name="04 (bỏ)" sheetId="10" state="hidden" r:id="rId10"/>
    <sheet name="05" sheetId="11" r:id="rId11"/>
    <sheet name="05 (bỏ)" sheetId="12" state="hidden" r:id="rId12"/>
    <sheet name="06" sheetId="13" state="hidden" r:id="rId13"/>
    <sheet name="07" sheetId="14" state="hidden" r:id="rId14"/>
    <sheet name="08" sheetId="15" state="hidden" r:id="rId15"/>
    <sheet name="09" sheetId="16" state="hidden" r:id="rId16"/>
    <sheet name="10" sheetId="17" state="hidden" r:id="rId17"/>
    <sheet name="11" sheetId="18" state="hidden" r:id="rId18"/>
    <sheet name="12" sheetId="19" state="hidden" r:id="rId19"/>
    <sheet name="PLChuaDieuKien" sheetId="20" r:id="rId20"/>
  </sheet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'04'!$A$1:$U$66</definedName>
    <definedName name="_xlnm.Print_Area" localSheetId="9">'04 (bỏ)'!$A$1:$U$23</definedName>
    <definedName name="_xlnm.Print_Area" localSheetId="10">'05'!$A$1:$U$67</definedName>
    <definedName name="_xlnm.Print_Area" localSheetId="11">'05 (bỏ)'!$A$1:$V$23</definedName>
    <definedName name="_xlnm.Print_Area" localSheetId="12">'06'!$A$1:$J$24</definedName>
    <definedName name="_xlnm.Print_Area" localSheetId="13">'07'!$A$1:$J$24</definedName>
    <definedName name="_xlnm.Print_Area" localSheetId="15">'09'!$A$1:$U$25</definedName>
    <definedName name="_xlnm.Print_Area" localSheetId="16">'10'!$A$1:$X$24</definedName>
    <definedName name="_xlnm.Print_Area" localSheetId="17">'11'!$A$1:$T$24</definedName>
    <definedName name="_xlnm.Print_Area" localSheetId="18">'12'!$A$1:$V$24</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<sst xmlns="http://schemas.openxmlformats.org/spreadsheetml/2006/main" count="1546" uniqueCount="452">
  <si>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</si>
  <si>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</si>
  <si>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</si>
  <si>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</si>
  <si>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</si>
  <si>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</si>
  <si>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</si>
  <si>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</si>
  <si>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</si>
  <si>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</si>
  <si>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</si>
  <si>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</si>
  <si>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</si>
  <si>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</si>
  <si>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</si>
  <si>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</si>
  <si>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</si>
  <si>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</si>
  <si>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</si>
  <si>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</si>
  <si>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</si>
  <si>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</si>
  <si>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</si>
  <si>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</si>
  <si>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</si>
  <si>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</si>
  <si>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</si>
  <si>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</si>
  <si>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</si>
  <si>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</si>
  <si>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</si>
  <si>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</si>
  <si>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</si>
  <si>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</si>
  <si>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</si>
  <si>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</si>
  <si>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</si>
  <si>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</si>
  <si>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</si>
  <si>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</si>
  <si>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</si>
  <si>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</si>
  <si>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</si>
  <si>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</si>
  <si>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</si>
  <si>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</si>
  <si>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</si>
  <si>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</si>
  <si>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</si>
  <si>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</si>
  <si>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</si>
  <si>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</si>
  <si>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</si>
  <si>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</si>
  <si>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</si>
  <si>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</si>
  <si>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</si>
  <si>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</si>
  <si>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</si>
  <si>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</si>
  <si>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</si>
  <si>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</si>
  <si>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</si>
  <si>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</si>
  <si>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</si>
  <si>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</si>
  <si>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</si>
  <si>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</si>
  <si>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</si>
  <si>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</si>
  <si>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</si>
  <si>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</si>
  <si>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</si>
  <si>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</si>
  <si>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</si>
  <si>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</si>
  <si>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</si>
  <si>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</si>
  <si>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</si>
  <si>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</si>
  <si>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</si>
  <si>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</si>
  <si>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</si>
  <si>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</si>
  <si>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</si>
  <si>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</si>
  <si>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</si>
  <si>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</si>
  <si>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</si>
  <si>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</si>
  <si>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</si>
  <si>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</si>
  <si>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</si>
  <si>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</si>
  <si>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</si>
  <si>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</si>
  <si>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</si>
  <si>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</si>
  <si>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</si>
  <si>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</si>
  <si>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</si>
  <si>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</si>
  <si>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</si>
  <si>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</si>
  <si>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</si>
  <si>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</si>
  <si>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</si>
  <si>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</si>
  <si>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</si>
  <si>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</si>
  <si>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</si>
  <si>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</si>
  <si>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</si>
  <si>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</si>
  <si>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</si>
  <si>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</si>
  <si>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</si>
  <si>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</si>
  <si>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</si>
  <si>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</si>
  <si>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</si>
  <si>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</si>
  <si>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</si>
  <si>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</si>
  <si>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</si>
  <si>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</si>
  <si>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</si>
  <si>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</si>
  <si>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</si>
  <si>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</si>
  <si>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</si>
  <si>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</si>
  <si>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</si>
  <si>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</si>
  <si>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</si>
  <si>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</si>
  <si>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</si>
  <si>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</si>
  <si>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</si>
  <si>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</si>
  <si>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</si>
  <si>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</si>
  <si>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</si>
  <si>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</si>
  <si>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</si>
  <si>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</si>
  <si>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</si>
  <si>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</si>
  <si>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</si>
  <si>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</si>
  <si>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</si>
  <si>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</si>
  <si>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</si>
  <si>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</si>
  <si>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</si>
  <si>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</si>
  <si>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</si>
  <si>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</si>
  <si>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</si>
  <si>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</si>
  <si>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</si>
  <si>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</si>
  <si>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</si>
  <si>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</si>
  <si>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</si>
  <si>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</si>
  <si>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</si>
  <si>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</si>
  <si>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</si>
  <si>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</si>
  <si>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</si>
  <si>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</si>
  <si>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</si>
  <si>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</si>
  <si>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</si>
  <si>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</si>
  <si>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</si>
  <si>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</si>
  <si>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</si>
  <si>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</si>
  <si>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</si>
  <si>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</si>
  <si>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</si>
  <si>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</si>
  <si>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</si>
  <si>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</si>
  <si>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</si>
  <si>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</si>
  <si>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</si>
  <si>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</si>
  <si>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</si>
  <si>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</si>
  <si>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</si>
  <si>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</si>
  <si>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</si>
  <si>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</si>
  <si>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</si>
  <si>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</si>
  <si>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</si>
  <si>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</si>
  <si>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</si>
  <si>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</si>
  <si>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</si>
  <si>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</si>
  <si>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</si>
  <si>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</si>
  <si>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</si>
  <si>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</si>
  <si>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</si>
  <si>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</si>
  <si>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</si>
  <si>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</si>
  <si>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</si>
  <si>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</si>
  <si>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</si>
  <si>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</si>
  <si>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</si>
  <si>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</si>
  <si>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</si>
  <si>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</si>
  <si>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</si>
  <si>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</si>
  <si>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</si>
  <si>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</si>
  <si>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</si>
  <si>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</si>
  <si>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</si>
  <si>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</si>
  <si>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</si>
  <si>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</si>
  <si>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</si>
  <si>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</si>
  <si>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</si>
  <si>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</si>
  <si>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</si>
  <si>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</si>
  <si>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</si>
  <si>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</si>
  <si>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</si>
  <si>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</si>
  <si>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</si>
  <si>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</si>
  <si>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</si>
  <si>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</si>
  <si>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</si>
  <si>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</si>
  <si>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</si>
  <si>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</si>
  <si>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</si>
  <si>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</si>
  <si>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</si>
  <si>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</si>
  <si>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</si>
  <si>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</si>
  <si>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</si>
  <si>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</si>
  <si>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</si>
  <si>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</si>
  <si>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</si>
  <si>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</si>
  <si>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</si>
  <si>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</si>
  <si>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</si>
  <si>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</si>
  <si>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</si>
  <si>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</si>
  <si>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</si>
  <si>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</si>
  <si>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</si>
  <si>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</si>
  <si>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</si>
  <si>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</si>
  <si>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</si>
  <si>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</si>
  <si>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</si>
  <si>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</si>
  <si>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</si>
  <si>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</si>
  <si>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</si>
  <si>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</si>
  <si>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</si>
  <si>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</si>
  <si>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</si>
  <si>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</si>
  <si>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</si>
  <si>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</si>
  <si>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</si>
  <si>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</si>
  <si>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</si>
  <si>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</si>
  <si>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</si>
  <si>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</si>
  <si>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</si>
  <si>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</si>
  <si>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</si>
  <si>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</si>
  <si>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</si>
  <si>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</si>
  <si>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</si>
  <si>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</si>
  <si>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</si>
  <si>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</si>
  <si>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</si>
  <si>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</si>
  <si>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</si>
  <si>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</si>
  <si>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</si>
  <si>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</si>
  <si>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</si>
  <si>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</si>
  <si>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</si>
  <si>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</si>
  <si>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</si>
  <si>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</si>
  <si>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</si>
  <si>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</si>
  <si>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</si>
  <si>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</si>
  <si>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</si>
  <si>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</si>
  <si>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</si>
  <si>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</si>
  <si>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</si>
  <si>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</si>
  <si>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</si>
  <si>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</si>
  <si>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</si>
  <si>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</si>
  <si>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</si>
  <si>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</si>
  <si>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</si>
  <si>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</si>
  <si>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</si>
  <si>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</si>
  <si>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</si>
  <si>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</si>
  <si>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</si>
  <si>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Nguyễn Tuyên</t>
  </si>
  <si>
    <t>Phạm Thị Linh Điệp</t>
  </si>
  <si>
    <t>Phan Thị Mai Thảo</t>
  </si>
  <si>
    <t>Đỗ Thị Hồng Huệ</t>
  </si>
  <si>
    <t>Ứng Anh Tuấn</t>
  </si>
  <si>
    <t>Trần Kim Sơn</t>
  </si>
  <si>
    <t>Nguyễn Ngọc Đắc</t>
  </si>
  <si>
    <t>Chi cục THADS thành phố Tuyên Quang</t>
  </si>
  <si>
    <t>Chi cục THADS huyện Yên Sơn</t>
  </si>
  <si>
    <t>Chi cục THADS huyện Sơn Dương</t>
  </si>
  <si>
    <t>Chi cục THADS huyện Hàm Yên</t>
  </si>
  <si>
    <t>Chi cục THADS huyện Chiêm Hóa</t>
  </si>
  <si>
    <t>Chi cục THADS huyện  Na Hang</t>
  </si>
  <si>
    <t>Chi cục THADS huyện Lâm Bình</t>
  </si>
  <si>
    <t>6,1</t>
  </si>
  <si>
    <t>6,2</t>
  </si>
  <si>
    <t>Bàn Văn Thịnh</t>
  </si>
  <si>
    <t>Ma Đình Thành</t>
  </si>
  <si>
    <t>4,1</t>
  </si>
  <si>
    <t>4,2</t>
  </si>
  <si>
    <t>4,3</t>
  </si>
  <si>
    <t>4,4</t>
  </si>
  <si>
    <t>Trương Thành Thủy</t>
  </si>
  <si>
    <t>Dương Minh Khánh</t>
  </si>
  <si>
    <t>Đỗ Minh Hạnh</t>
  </si>
  <si>
    <t>5,1</t>
  </si>
  <si>
    <t>5,2</t>
  </si>
  <si>
    <t>5,3</t>
  </si>
  <si>
    <t>Lâm Văn Chiến</t>
  </si>
  <si>
    <t>Phạm Đức Thắng</t>
  </si>
  <si>
    <t>7,1</t>
  </si>
  <si>
    <t>7,2</t>
  </si>
  <si>
    <t>Nguyễn Thanh Bình</t>
  </si>
  <si>
    <t>1,3</t>
  </si>
  <si>
    <t>1,4</t>
  </si>
  <si>
    <t>1,5</t>
  </si>
  <si>
    <t>1,6</t>
  </si>
  <si>
    <t>Trần Hữu Cường</t>
  </si>
  <si>
    <t>Đỗ Hồng Thủy</t>
  </si>
  <si>
    <t>Đỗ Quý Cường</t>
  </si>
  <si>
    <t>Hoàng Phương Hoa</t>
  </si>
  <si>
    <t>Hoàng Đức Úy</t>
  </si>
  <si>
    <t>3,1</t>
  </si>
  <si>
    <t>3,2</t>
  </si>
  <si>
    <t>3,3</t>
  </si>
  <si>
    <t>3,4</t>
  </si>
  <si>
    <t>3,6</t>
  </si>
  <si>
    <t>Trần Quang Hưng</t>
  </si>
  <si>
    <t>Hà Duy Hiển</t>
  </si>
  <si>
    <t>Triệu Thu Hằng</t>
  </si>
  <si>
    <t>Nguyễn Thị Dương Hồng</t>
  </si>
  <si>
    <t>Nông Văn Thăng</t>
  </si>
  <si>
    <t>2,2</t>
  </si>
  <si>
    <t>2,3</t>
  </si>
  <si>
    <t>2,4</t>
  </si>
  <si>
    <t>2,5</t>
  </si>
  <si>
    <t>2,6</t>
  </si>
  <si>
    <t>Hà Ích Đạt</t>
  </si>
  <si>
    <t>Lương Hồ Điệp</t>
  </si>
  <si>
    <t>Đào Đức Hải</t>
  </si>
  <si>
    <t>Hà Thị Mai</t>
  </si>
  <si>
    <t>Đơn vị  báo cáo: 
Cục Thi hành án dân sự tỉnh Tuyên Quang
Đơn vị nhận báo cáo: Tổng cục Thi hành án dân sự</t>
  </si>
  <si>
    <t>1,1</t>
  </si>
  <si>
    <t>1,2</t>
  </si>
  <si>
    <t>Chi cục THADS huyện Na Hang</t>
  </si>
  <si>
    <t>Chi cục THADS thành phố TQ</t>
  </si>
  <si>
    <t>2,1,3</t>
  </si>
  <si>
    <t>2,1,4</t>
  </si>
  <si>
    <t>2,1,5</t>
  </si>
  <si>
    <t>2,1,5,1</t>
  </si>
  <si>
    <t>2,1,5,2</t>
  </si>
  <si>
    <t>2,1,6</t>
  </si>
  <si>
    <t>2,1,7</t>
  </si>
  <si>
    <t>2,1,2,1</t>
  </si>
  <si>
    <t>2,1,2,2</t>
  </si>
  <si>
    <t>2,1,3,1</t>
  </si>
  <si>
    <t>2,1,3,2</t>
  </si>
  <si>
    <t>2,1,4,1</t>
  </si>
  <si>
    <t>2,1,4,2</t>
  </si>
  <si>
    <t>2,1,6,1</t>
  </si>
  <si>
    <t>2,1,6,2</t>
  </si>
  <si>
    <t>2,1,7,1</t>
  </si>
  <si>
    <t>2,1,7,2</t>
  </si>
  <si>
    <t>Chi cục Thi hành án dân sự thành phố Tuyên Quang</t>
  </si>
  <si>
    <t>Chi cục Thi hành án dân sự huyện Yên Sơn</t>
  </si>
  <si>
    <t>Chi cục Thi hành án dân sự huyện Sơn Dương</t>
  </si>
  <si>
    <t>Chi cục Thi hành án dân sự huyện Hàm Yên</t>
  </si>
  <si>
    <t>Chi cục Thi hành án dân sự huyện Chiêm Hóa</t>
  </si>
  <si>
    <t>Chi cục Thi hành án dân sự huyện Na Hang</t>
  </si>
  <si>
    <t>Chi cục Thi hành án dân sự huyện Lâm Bình</t>
  </si>
  <si>
    <t>Chi cục THADS  huyện Lâm Bình</t>
  </si>
  <si>
    <t>Chi cục THADS huyện  Lâm Bình</t>
  </si>
  <si>
    <t>Chi cục THADS TP Tuyên Quang</t>
  </si>
  <si>
    <t>Hoàng Anh Tuấn</t>
  </si>
  <si>
    <t>Trân Quang Hưng</t>
  </si>
  <si>
    <t>Nguyễn Quốc Tuấn</t>
  </si>
  <si>
    <t>Nguyễn Quang Huy</t>
  </si>
  <si>
    <t>KẾT QUẢ THI HÀNH ÁN DÂN SỰ TÍNH BẰNG VIỆC
 12 tháng/năm 2021</t>
  </si>
  <si>
    <t>KẾT QUẢ THI HÀNH ÁN DÂN SỰ TÍNH BẰNG TIỀN
 12 tháng/năm 2021</t>
  </si>
  <si>
    <t>KẾT QUẢ THI HÀNH  CHO NGÂN SÁCH NHÀ NƯỚC
 12 tháng/năm 2021</t>
  </si>
  <si>
    <r>
      <t xml:space="preserve">KẾT QUẢ ĐỀ NGHỊ, XÉT MIỄN VÀ GIẢM NGHĨA VỤ 
THI HÀNH ÁN DÂN SỰ
 12 </t>
    </r>
    <r>
      <rPr>
        <sz val="13"/>
        <rFont val="Times New Roman"/>
        <family val="1"/>
      </rPr>
      <t>tháng/năm 2021</t>
    </r>
  </si>
  <si>
    <r>
      <t xml:space="preserve">KẾT QUẢ CƯỠNG CHẾ THI HÀNH ÁN DÂN SỰ
 12 </t>
    </r>
    <r>
      <rPr>
        <sz val="13"/>
        <rFont val="Times New Roman"/>
        <family val="1"/>
      </rPr>
      <t>tháng/năm 2021</t>
    </r>
  </si>
  <si>
    <t>KẾT QUẢ GIẢI QUYẾT KHIẾU NẠI, TỐ CÁO 
VỀ THI HÀNH ÁN DÂN SỰ
 12 tháng/năm 2021</t>
  </si>
  <si>
    <r>
      <t xml:space="preserve">TIẾP CÔNG DÂN TRONG THI HÀNH ÁN DÂN SỰ
 12 </t>
    </r>
    <r>
      <rPr>
        <sz val="13"/>
        <rFont val="Times New Roman"/>
        <family val="1"/>
      </rPr>
      <t>tháng/năm 2021</t>
    </r>
  </si>
  <si>
    <r>
      <t xml:space="preserve">KẾT QUẢ GIÁM SÁT, KIỂM SÁT THI HÀNH ÁN DÂN SỰ
12 </t>
    </r>
    <r>
      <rPr>
        <sz val="13"/>
        <rFont val="Times New Roman"/>
        <family val="1"/>
      </rPr>
      <t>tháng/năm 2021</t>
    </r>
  </si>
  <si>
    <r>
      <t xml:space="preserve">KẾT QUẢ BỒI THƯỜNG  NHÀ NƯỚC TRONG THI HÀNH ÁN DÂN SỰ
 12 </t>
    </r>
    <r>
      <rPr>
        <sz val="14"/>
        <color indexed="8"/>
        <rFont val="Times New Roman"/>
        <family val="1"/>
      </rPr>
      <t>tháng/năm 2021</t>
    </r>
  </si>
  <si>
    <r>
      <t>KẾT QUẢ THEO DÕI VIỆC THI HÀNH  ÁN HÀNH CHÍNH 
12</t>
    </r>
    <r>
      <rPr>
        <sz val="14"/>
        <rFont val="Times New Roman"/>
        <family val="1"/>
      </rPr>
      <t xml:space="preserve"> tháng/năm 2021</t>
    </r>
  </si>
  <si>
    <t>Vũ Hồng Quân</t>
  </si>
  <si>
    <t>Trần Quang Quân</t>
  </si>
  <si>
    <t>5 tháng /năm 2022</t>
  </si>
  <si>
    <t>7 tháng/năm 2022</t>
  </si>
  <si>
    <t>KẾT QUẢ THI HÀNH ÁN DÂN SỰ TÍNH BẰNG VIỆC CHIA THEO CƠ QUAN THI HÀNH ÁN DÂN SỰ VÀ CHẤP HÀNH VIÊN
 7 tháng/năm 2022</t>
  </si>
  <si>
    <t>KẾT QUẢ THI HÀNH ÁN DÂN SỰ TÍNH BẰNG TIỀN CHIA THEO CƠ QUAN THI HÀNH ÁN DÂN SỰ VÀ CHẤP HÀNH VIÊN
7 tháng/năm 2022</t>
  </si>
  <si>
    <t>Cao Trọng Thủy</t>
  </si>
  <si>
    <t>Tuyên Quang, ngày 4 tháng 5 năm 2022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</si>
</sst>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s>
  <fonts count="100">
    <font>
      <sz val="12"/>
      <name val="Times New Roman"/>
      <family val="1"/>
    </font>
    <font>
      <sz val="12"/>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sz val="11"/>
      <color indexed="10"/>
      <name val="Times New Roman"/>
      <family val="1"/>
    </font>
    <font>
      <sz val="10"/>
      <color indexed="10"/>
      <name val="Times New Roman"/>
      <family val="1"/>
    </font>
    <font>
      <sz val="9"/>
      <color indexed="10"/>
      <name val="Times New Roman"/>
      <family val="1"/>
    </font>
    <font>
      <b/>
      <sz val="9"/>
      <color indexed="10"/>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9"/>
      <color indexed="8"/>
      <name val="Times New Roman"/>
      <family val="1"/>
    </font>
    <font>
      <sz val="9"/>
      <color indexed="8"/>
      <name val="Times New Roman"/>
      <family val="1"/>
    </font>
    <font>
      <b/>
      <sz val="8.5"/>
      <name val="Times New Roman"/>
      <family val="1"/>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10"/>
      <color rgb="FFFF0000"/>
      <name val="Times New Roman"/>
      <family val="1"/>
    </font>
    <font>
      <sz val="12"/>
      <color rgb="FFFF0000"/>
      <name val="Times New Roman"/>
      <family val="1"/>
    </font>
    <font>
      <sz val="11"/>
      <color rgb="FFFF0000"/>
      <name val="Times New Roman"/>
      <family val="1"/>
    </font>
    <font>
      <sz val="9"/>
      <color rgb="FFFF0000"/>
      <name val="Times New Roman"/>
      <family val="1"/>
    </font>
    <font>
      <b/>
      <sz val="9"/>
      <color rgb="FFFF0000"/>
      <name val="Times New Roman"/>
      <family val="1"/>
    </font>
    <font>
      <sz val="12"/>
      <color theme="0"/>
      <name val="Times New Roman"/>
      <family val="1"/>
    </font>
    <font>
      <i/>
      <sz val="11"/>
      <color theme="1"/>
      <name val="Times New Roman"/>
      <family val="1"/>
    </font>
    <font>
      <sz val="9"/>
      <color theme="1"/>
      <name val="Times New Roman"/>
      <family val="1"/>
    </font>
    <font>
      <b/>
      <sz val="9"/>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top style="thin"/>
      <bottom style="thin"/>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5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59"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59" applyFont="1" applyFill="1" applyAlignment="1">
      <alignment horizontal="center" vertical="center"/>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49" fontId="21" fillId="33" borderId="10" xfId="0" applyNumberFormat="1" applyFont="1" applyFill="1" applyBorder="1" applyAlignment="1">
      <alignment/>
    </xf>
    <xf numFmtId="49" fontId="21"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9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25"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26" fillId="33" borderId="14" xfId="0" applyNumberFormat="1" applyFont="1" applyFill="1" applyBorder="1" applyAlignment="1">
      <alignment horizontal="center" vertical="top" wrapText="1"/>
    </xf>
    <xf numFmtId="1" fontId="26" fillId="33" borderId="14" xfId="0" applyNumberFormat="1" applyFont="1" applyFill="1" applyBorder="1" applyAlignment="1">
      <alignment horizontal="center" vertical="top" wrapText="1"/>
    </xf>
    <xf numFmtId="1" fontId="27" fillId="33" borderId="14" xfId="0" applyNumberFormat="1" applyFont="1" applyFill="1" applyBorder="1" applyAlignment="1">
      <alignment horizontal="center" vertical="top" wrapText="1"/>
    </xf>
    <xf numFmtId="49" fontId="8" fillId="0" borderId="15"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0" xfId="0" applyNumberFormat="1" applyFont="1" applyBorder="1" applyAlignment="1">
      <alignment vertical="justify" textRotation="90"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8"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2" fillId="0" borderId="0" xfId="0" applyFont="1" applyAlignment="1">
      <alignment/>
    </xf>
    <xf numFmtId="49" fontId="0" fillId="0" borderId="0" xfId="0" applyNumberFormat="1" applyFill="1" applyAlignment="1">
      <alignment/>
    </xf>
    <xf numFmtId="0" fontId="33" fillId="0" borderId="14" xfId="0" applyFont="1" applyBorder="1" applyAlignment="1">
      <alignment/>
    </xf>
    <xf numFmtId="0" fontId="28" fillId="33" borderId="0" xfId="0" applyFont="1" applyFill="1" applyAlignment="1">
      <alignment/>
    </xf>
    <xf numFmtId="1" fontId="28" fillId="33" borderId="0" xfId="0" applyNumberFormat="1" applyFont="1" applyFill="1" applyAlignment="1">
      <alignment horizontal="center"/>
    </xf>
    <xf numFmtId="2" fontId="28" fillId="33" borderId="0" xfId="0" applyNumberFormat="1" applyFont="1" applyFill="1" applyAlignment="1">
      <alignment/>
    </xf>
    <xf numFmtId="0" fontId="34" fillId="0" borderId="14" xfId="0" applyFont="1" applyBorder="1" applyAlignment="1">
      <alignment/>
    </xf>
    <xf numFmtId="0" fontId="32" fillId="0" borderId="0" xfId="0" applyFont="1" applyFill="1" applyAlignment="1">
      <alignment/>
    </xf>
    <xf numFmtId="0" fontId="35" fillId="0" borderId="10" xfId="0" applyFont="1" applyBorder="1" applyAlignment="1">
      <alignment horizontal="center"/>
    </xf>
    <xf numFmtId="0" fontId="35" fillId="0" borderId="17" xfId="0" applyFont="1" applyBorder="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34" fillId="0" borderId="0" xfId="0" applyFont="1" applyAlignment="1">
      <alignment/>
    </xf>
    <xf numFmtId="0" fontId="37" fillId="0" borderId="0" xfId="0" applyFont="1" applyBorder="1" applyAlignment="1">
      <alignment wrapText="1"/>
    </xf>
    <xf numFmtId="0" fontId="38" fillId="0" borderId="0" xfId="0" applyFont="1" applyBorder="1" applyAlignment="1">
      <alignment horizontal="center" wrapText="1"/>
    </xf>
    <xf numFmtId="0" fontId="35" fillId="33" borderId="0" xfId="0" applyFont="1" applyFill="1" applyBorder="1" applyAlignment="1">
      <alignment horizontal="center"/>
    </xf>
    <xf numFmtId="0" fontId="35" fillId="33" borderId="0" xfId="0" applyFont="1" applyFill="1" applyBorder="1" applyAlignment="1">
      <alignment/>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39" fillId="0" borderId="0" xfId="0" applyFont="1" applyFill="1" applyAlignment="1">
      <alignment/>
    </xf>
    <xf numFmtId="0" fontId="35" fillId="0" borderId="0" xfId="0" applyFont="1" applyAlignment="1">
      <alignment/>
    </xf>
    <xf numFmtId="0" fontId="39" fillId="0" borderId="0" xfId="0" applyFont="1" applyAlignment="1">
      <alignment/>
    </xf>
    <xf numFmtId="0" fontId="38" fillId="0" borderId="0" xfId="0" applyNumberFormat="1" applyFont="1" applyBorder="1" applyAlignment="1">
      <alignment/>
    </xf>
    <xf numFmtId="0" fontId="38" fillId="0" borderId="0" xfId="0" applyNumberFormat="1" applyFont="1" applyBorder="1" applyAlignment="1">
      <alignment horizontal="center"/>
    </xf>
    <xf numFmtId="0" fontId="38" fillId="0" borderId="0" xfId="0" applyFont="1" applyAlignment="1">
      <alignment/>
    </xf>
    <xf numFmtId="49" fontId="36" fillId="0" borderId="0" xfId="0" applyNumberFormat="1" applyFont="1" applyAlignment="1">
      <alignment/>
    </xf>
    <xf numFmtId="49" fontId="35" fillId="0" borderId="0" xfId="0" applyNumberFormat="1" applyFont="1" applyAlignment="1">
      <alignment/>
    </xf>
    <xf numFmtId="49" fontId="40" fillId="0" borderId="0" xfId="0" applyNumberFormat="1" applyFont="1" applyBorder="1" applyAlignment="1">
      <alignment wrapText="1"/>
    </xf>
    <xf numFmtId="49" fontId="40" fillId="0" borderId="0" xfId="0" applyNumberFormat="1" applyFont="1" applyBorder="1" applyAlignment="1">
      <alignment horizontal="justify" vertical="justify" wrapText="1"/>
    </xf>
    <xf numFmtId="49" fontId="34"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41" fillId="33" borderId="0" xfId="0" applyNumberFormat="1" applyFont="1" applyFill="1" applyBorder="1" applyAlignment="1">
      <alignment horizontal="center" wrapText="1"/>
    </xf>
    <xf numFmtId="2" fontId="18" fillId="33" borderId="0" xfId="0" applyNumberFormat="1" applyFont="1" applyFill="1" applyAlignment="1">
      <alignment/>
    </xf>
    <xf numFmtId="49" fontId="34" fillId="0" borderId="0" xfId="0" applyNumberFormat="1" applyFont="1" applyFill="1" applyAlignment="1">
      <alignment/>
    </xf>
    <xf numFmtId="10" fontId="34" fillId="0" borderId="0" xfId="0" applyNumberFormat="1" applyFont="1" applyFill="1" applyAlignment="1">
      <alignment/>
    </xf>
    <xf numFmtId="49" fontId="6" fillId="0" borderId="0" xfId="56" applyNumberFormat="1" applyFont="1" applyFill="1" applyBorder="1" applyAlignment="1">
      <alignment vertical="center" wrapText="1"/>
      <protection/>
    </xf>
    <xf numFmtId="10" fontId="34" fillId="0" borderId="0" xfId="0" applyNumberFormat="1" applyFont="1" applyAlignment="1">
      <alignment/>
    </xf>
    <xf numFmtId="0" fontId="43" fillId="0" borderId="0" xfId="56" applyFont="1" applyBorder="1" applyAlignment="1">
      <alignment wrapText="1"/>
      <protection/>
    </xf>
    <xf numFmtId="49" fontId="44" fillId="0" borderId="0" xfId="56"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9" fillId="0" borderId="0" xfId="0" applyNumberFormat="1" applyFont="1" applyAlignment="1">
      <alignment/>
    </xf>
    <xf numFmtId="49" fontId="34" fillId="0" borderId="0" xfId="0" applyNumberFormat="1" applyFont="1" applyAlignment="1">
      <alignment/>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50"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2"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33" borderId="0" xfId="0" applyNumberFormat="1" applyFill="1" applyAlignment="1" applyProtection="1">
      <alignment/>
      <protection locked="0"/>
    </xf>
    <xf numFmtId="0" fontId="0" fillId="33" borderId="0" xfId="0" applyNumberFormat="1" applyFont="1" applyFill="1" applyAlignment="1" applyProtection="1">
      <alignment/>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92"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3"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3" fillId="0" borderId="0" xfId="0" applyNumberFormat="1" applyFont="1" applyFill="1" applyAlignment="1" applyProtection="1">
      <alignment horizontal="center" wrapText="1"/>
      <protection locked="0"/>
    </xf>
    <xf numFmtId="49" fontId="92"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92"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164" fontId="11" fillId="33"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horizontal="center" vertical="center"/>
      <protection locked="0"/>
    </xf>
    <xf numFmtId="164" fontId="11" fillId="35" borderId="18"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64" fontId="11" fillId="33" borderId="18" xfId="42" applyNumberFormat="1" applyFont="1" applyFill="1" applyBorder="1" applyAlignment="1" applyProtection="1">
      <alignment vertical="center" wrapText="1"/>
      <protection locked="0"/>
    </xf>
    <xf numFmtId="10" fontId="11" fillId="36" borderId="10" xfId="59"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6" fillId="39"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protection locked="0"/>
    </xf>
    <xf numFmtId="164" fontId="3" fillId="40"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2"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51" fillId="36" borderId="10" xfId="59" applyNumberFormat="1" applyFont="1" applyFill="1" applyBorder="1" applyAlignment="1" applyProtection="1">
      <alignment horizontal="center" vertical="center"/>
      <protection locked="0"/>
    </xf>
    <xf numFmtId="164" fontId="51" fillId="33" borderId="18" xfId="42" applyNumberFormat="1" applyFont="1" applyFill="1" applyBorder="1" applyAlignment="1" applyProtection="1">
      <alignment vertical="center" wrapText="1"/>
      <protection locked="0"/>
    </xf>
    <xf numFmtId="164" fontId="51" fillId="33" borderId="10" xfId="42" applyNumberFormat="1" applyFont="1" applyFill="1" applyBorder="1" applyAlignment="1" applyProtection="1">
      <alignment horizontal="center" vertical="center"/>
      <protection locked="0"/>
    </xf>
    <xf numFmtId="164" fontId="17" fillId="33" borderId="10" xfId="42" applyNumberFormat="1" applyFont="1" applyFill="1" applyBorder="1" applyAlignment="1" applyProtection="1">
      <alignment horizontal="center" vertical="center"/>
      <protection locked="0"/>
    </xf>
    <xf numFmtId="164" fontId="20" fillId="33" borderId="10" xfId="42" applyNumberFormat="1" applyFont="1" applyFill="1" applyBorder="1" applyAlignment="1" applyProtection="1">
      <alignment horizontal="center" vertical="center"/>
      <protection locked="0"/>
    </xf>
    <xf numFmtId="164" fontId="14" fillId="33" borderId="10" xfId="42" applyNumberFormat="1" applyFont="1" applyFill="1" applyBorder="1" applyAlignment="1" applyProtection="1">
      <alignment horizontal="center" vertical="center"/>
      <protection locked="0"/>
    </xf>
    <xf numFmtId="164" fontId="22"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8" fillId="35" borderId="10" xfId="0" applyNumberFormat="1" applyFont="1" applyFill="1" applyBorder="1" applyAlignment="1" applyProtection="1">
      <alignment horizontal="center" vertical="center"/>
      <protection locked="0"/>
    </xf>
    <xf numFmtId="49" fontId="8" fillId="35" borderId="10" xfId="0" applyNumberFormat="1" applyFont="1" applyFill="1" applyBorder="1" applyAlignment="1" applyProtection="1">
      <alignment vertical="center"/>
      <protection locked="0"/>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11" fillId="35" borderId="10" xfId="42" applyNumberFormat="1" applyFont="1" applyFill="1" applyBorder="1" applyAlignment="1" applyProtection="1">
      <alignment horizontal="center" vertical="center"/>
      <protection locked="0"/>
    </xf>
    <xf numFmtId="164" fontId="11" fillId="35" borderId="10" xfId="42" applyNumberFormat="1" applyFont="1" applyFill="1" applyBorder="1" applyAlignment="1" applyProtection="1">
      <alignment horizontal="center"/>
      <protection locked="0"/>
    </xf>
    <xf numFmtId="164" fontId="51" fillId="0" borderId="10" xfId="42" applyNumberFormat="1" applyFont="1" applyFill="1" applyBorder="1" applyAlignment="1" applyProtection="1">
      <alignment horizontal="center" vertical="center"/>
      <protection locked="0"/>
    </xf>
    <xf numFmtId="164" fontId="51" fillId="33" borderId="10" xfId="42" applyNumberFormat="1" applyFont="1" applyFill="1" applyBorder="1" applyAlignment="1" applyProtection="1">
      <alignment horizontal="center"/>
      <protection locked="0"/>
    </xf>
    <xf numFmtId="49" fontId="8" fillId="35" borderId="10" xfId="0" applyNumberFormat="1" applyFont="1" applyFill="1" applyBorder="1" applyAlignment="1" applyProtection="1">
      <alignment horizontal="center" vertical="center"/>
      <protection locked="0"/>
    </xf>
    <xf numFmtId="49" fontId="8" fillId="35" borderId="10" xfId="0" applyNumberFormat="1" applyFont="1" applyFill="1" applyBorder="1" applyAlignment="1" applyProtection="1">
      <alignment vertical="center"/>
      <protection locked="0"/>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49" fontId="11" fillId="35" borderId="12" xfId="0" applyNumberFormat="1" applyFont="1" applyFill="1" applyBorder="1" applyAlignment="1" applyProtection="1">
      <alignment vertical="center"/>
      <protection locked="0"/>
    </xf>
    <xf numFmtId="49" fontId="53" fillId="0" borderId="0" xfId="0" applyNumberFormat="1" applyFont="1" applyAlignment="1">
      <alignment/>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1" fillId="0" borderId="10" xfId="0" applyNumberFormat="1" applyFont="1" applyBorder="1" applyAlignment="1" applyProtection="1">
      <alignment horizontal="center"/>
      <protection locked="0"/>
    </xf>
    <xf numFmtId="49" fontId="21"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21"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8"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33" borderId="10" xfId="0" applyNumberFormat="1" applyFont="1" applyFill="1" applyBorder="1" applyAlignment="1" applyProtection="1">
      <alignment horizontal="left"/>
      <protection locked="0"/>
    </xf>
    <xf numFmtId="164" fontId="10" fillId="0" borderId="13" xfId="42" applyNumberFormat="1" applyFont="1" applyFill="1" applyBorder="1" applyAlignment="1">
      <alignment wrapText="1"/>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8" fillId="0" borderId="10" xfId="0" applyNumberFormat="1" applyFont="1" applyBorder="1" applyAlignment="1" applyProtection="1">
      <alignment horizontal="center" wrapText="1"/>
      <protection locked="0"/>
    </xf>
    <xf numFmtId="49" fontId="8" fillId="0" borderId="10" xfId="0" applyNumberFormat="1" applyFont="1" applyBorder="1" applyAlignment="1" applyProtection="1">
      <alignment horizontal="left" wrapText="1"/>
      <protection locked="0"/>
    </xf>
    <xf numFmtId="164" fontId="8" fillId="33" borderId="16" xfId="42" applyNumberFormat="1" applyFont="1" applyFill="1" applyBorder="1" applyAlignment="1" applyProtection="1">
      <alignment horizontal="center" wrapText="1"/>
      <protection locked="0"/>
    </xf>
    <xf numFmtId="164" fontId="11" fillId="33" borderId="18" xfId="42" applyNumberFormat="1" applyFont="1" applyFill="1" applyBorder="1" applyAlignment="1" applyProtection="1">
      <alignment horizontal="center"/>
      <protection locked="0"/>
    </xf>
    <xf numFmtId="164" fontId="11" fillId="33" borderId="16" xfId="42" applyNumberFormat="1" applyFont="1" applyFill="1" applyBorder="1" applyAlignment="1" applyProtection="1">
      <alignment horizontal="center"/>
      <protection locked="0"/>
    </xf>
    <xf numFmtId="49" fontId="8"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8" fillId="0" borderId="10" xfId="0" applyNumberFormat="1" applyFont="1" applyBorder="1" applyAlignment="1" applyProtection="1">
      <alignment horizontal="center"/>
      <protection locked="0"/>
    </xf>
    <xf numFmtId="49" fontId="8" fillId="33" borderId="10" xfId="0" applyNumberFormat="1" applyFont="1" applyFill="1" applyBorder="1" applyAlignment="1" applyProtection="1">
      <alignment horizontal="left"/>
      <protection locked="0"/>
    </xf>
    <xf numFmtId="49" fontId="8" fillId="0" borderId="18" xfId="0" applyNumberFormat="1" applyFont="1" applyBorder="1" applyAlignment="1" applyProtection="1">
      <alignment horizontal="center"/>
      <protection locked="0"/>
    </xf>
    <xf numFmtId="49" fontId="11" fillId="33" borderId="10" xfId="0" applyNumberFormat="1" applyFont="1" applyFill="1" applyBorder="1" applyAlignment="1" applyProtection="1">
      <alignment horizontal="left"/>
      <protection locked="0"/>
    </xf>
    <xf numFmtId="164" fontId="8" fillId="33" borderId="10" xfId="42" applyNumberFormat="1" applyFont="1" applyFill="1" applyBorder="1" applyAlignment="1" applyProtection="1">
      <alignment horizontal="center"/>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164" fontId="9" fillId="33" borderId="0" xfId="42" applyNumberFormat="1" applyFont="1" applyFill="1" applyBorder="1" applyAlignment="1">
      <alignment horizontal="center" wrapText="1"/>
    </xf>
    <xf numFmtId="164"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0" fontId="11" fillId="0" borderId="10" xfId="0" applyFont="1" applyFill="1" applyBorder="1" applyAlignment="1" applyProtection="1">
      <alignment/>
      <protection locked="0"/>
    </xf>
    <xf numFmtId="164" fontId="10" fillId="0" borderId="13" xfId="42" applyNumberFormat="1" applyFont="1" applyBorder="1" applyAlignment="1">
      <alignment/>
    </xf>
    <xf numFmtId="164" fontId="24"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protection locked="0"/>
    </xf>
    <xf numFmtId="164" fontId="0" fillId="33" borderId="10" xfId="42" applyNumberFormat="1" applyFont="1" applyFill="1" applyBorder="1" applyAlignment="1" applyProtection="1">
      <alignment horizontal="center"/>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1" fillId="0" borderId="10" xfId="0" applyFont="1" applyBorder="1" applyAlignment="1" applyProtection="1">
      <alignment horizontal="center"/>
      <protection locked="0"/>
    </xf>
    <xf numFmtId="0" fontId="21" fillId="33" borderId="10" xfId="0" applyFont="1" applyFill="1" applyBorder="1" applyAlignment="1" applyProtection="1">
      <alignment horizontal="left"/>
      <protection locked="0"/>
    </xf>
    <xf numFmtId="164" fontId="21" fillId="33" borderId="10" xfId="42" applyNumberFormat="1" applyFont="1" applyFill="1" applyBorder="1" applyAlignment="1" applyProtection="1">
      <alignment horizontal="center"/>
      <protection locked="0"/>
    </xf>
    <xf numFmtId="164" fontId="0" fillId="0" borderId="10" xfId="42" applyNumberFormat="1" applyFont="1" applyBorder="1" applyAlignment="1" applyProtection="1">
      <alignment/>
      <protection locked="0"/>
    </xf>
    <xf numFmtId="164" fontId="0" fillId="33" borderId="10" xfId="42" applyNumberFormat="1" applyFont="1" applyFill="1" applyBorder="1" applyAlignment="1" applyProtection="1">
      <alignment/>
      <protection locked="0"/>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Alignment="1" applyProtection="1">
      <alignment horizontal="center"/>
      <protection locked="0"/>
    </xf>
    <xf numFmtId="0" fontId="36" fillId="0" borderId="10" xfId="0" applyFont="1" applyBorder="1" applyAlignment="1" applyProtection="1">
      <alignment horizontal="center"/>
      <protection locked="0"/>
    </xf>
    <xf numFmtId="0" fontId="36" fillId="33" borderId="10" xfId="0" applyFont="1" applyFill="1" applyBorder="1" applyAlignment="1" applyProtection="1">
      <alignment horizontal="left"/>
      <protection locked="0"/>
    </xf>
    <xf numFmtId="0" fontId="32" fillId="0" borderId="0" xfId="0" applyFont="1" applyAlignment="1" applyProtection="1">
      <alignment/>
      <protection locked="0"/>
    </xf>
    <xf numFmtId="0" fontId="36" fillId="0" borderId="18"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33" borderId="10" xfId="0" applyFont="1" applyFill="1" applyBorder="1" applyAlignment="1" applyProtection="1">
      <alignment horizontal="left"/>
      <protection locked="0"/>
    </xf>
    <xf numFmtId="164" fontId="35" fillId="33" borderId="10" xfId="42" applyNumberFormat="1" applyFont="1" applyFill="1" applyBorder="1" applyAlignment="1" applyProtection="1">
      <alignment horizontal="center"/>
      <protection locked="0"/>
    </xf>
    <xf numFmtId="164" fontId="34" fillId="33" borderId="10" xfId="42" applyNumberFormat="1" applyFont="1" applyFill="1" applyBorder="1" applyAlignment="1" applyProtection="1">
      <alignment horizontal="center"/>
      <protection locked="0"/>
    </xf>
    <xf numFmtId="164" fontId="36" fillId="33" borderId="10" xfId="42" applyNumberFormat="1" applyFont="1" applyFill="1" applyBorder="1" applyAlignment="1" applyProtection="1">
      <alignment horizontal="center"/>
      <protection locked="0"/>
    </xf>
    <xf numFmtId="164" fontId="36" fillId="33" borderId="10" xfId="42" applyNumberFormat="1" applyFont="1" applyFill="1" applyBorder="1" applyAlignment="1" applyProtection="1">
      <alignment/>
      <protection locked="0"/>
    </xf>
    <xf numFmtId="164" fontId="32"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94" fillId="33"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5" fillId="33" borderId="10" xfId="0" applyFont="1" applyFill="1" applyBorder="1" applyAlignment="1" applyProtection="1">
      <alignment horizontal="center" vertical="center" wrapText="1"/>
      <protection locked="0"/>
    </xf>
    <xf numFmtId="49" fontId="14" fillId="0" borderId="13" xfId="56" applyNumberFormat="1" applyFont="1" applyFill="1" applyBorder="1" applyAlignment="1">
      <alignment vertical="center" wrapText="1"/>
      <protection/>
    </xf>
    <xf numFmtId="0" fontId="5" fillId="0" borderId="0" xfId="56" applyFont="1" applyBorder="1" applyAlignment="1">
      <alignment wrapText="1"/>
      <protection/>
    </xf>
    <xf numFmtId="0" fontId="21" fillId="0" borderId="0" xfId="56" applyFont="1" applyBorder="1" applyAlignment="1">
      <alignment vertical="center" wrapText="1"/>
      <protection/>
    </xf>
    <xf numFmtId="164" fontId="7" fillId="0" borderId="10" xfId="42" applyNumberFormat="1" applyFont="1" applyBorder="1" applyAlignment="1" applyProtection="1">
      <alignment/>
      <protection locked="0"/>
    </xf>
    <xf numFmtId="49" fontId="96" fillId="33" borderId="0" xfId="0" applyNumberFormat="1" applyFont="1" applyFill="1" applyAlignment="1" applyProtection="1">
      <alignment/>
      <protection/>
    </xf>
    <xf numFmtId="164" fontId="11" fillId="36" borderId="10" xfId="42" applyNumberFormat="1" applyFont="1" applyFill="1" applyBorder="1" applyAlignment="1" applyProtection="1">
      <alignment horizontal="center" vertical="center"/>
      <protection/>
    </xf>
    <xf numFmtId="164" fontId="51" fillId="36" borderId="10" xfId="42" applyNumberFormat="1" applyFont="1" applyFill="1" applyBorder="1" applyAlignment="1" applyProtection="1">
      <alignment horizontal="center" vertical="center"/>
      <protection/>
    </xf>
    <xf numFmtId="164" fontId="52" fillId="36" borderId="10" xfId="42" applyNumberFormat="1" applyFont="1" applyFill="1" applyBorder="1" applyAlignment="1" applyProtection="1">
      <alignment horizontal="center" vertical="center"/>
      <protection/>
    </xf>
    <xf numFmtId="164" fontId="51" fillId="37" borderId="10" xfId="42" applyNumberFormat="1" applyFont="1" applyFill="1" applyBorder="1" applyAlignment="1" applyProtection="1">
      <alignment horizontal="center" vertical="center"/>
      <protection/>
    </xf>
    <xf numFmtId="164" fontId="52" fillId="37" borderId="10" xfId="42" applyNumberFormat="1" applyFont="1" applyFill="1" applyBorder="1" applyAlignment="1" applyProtection="1">
      <alignment horizontal="center" vertical="center"/>
      <protection/>
    </xf>
    <xf numFmtId="164" fontId="51" fillId="34" borderId="19" xfId="42" applyNumberFormat="1" applyFont="1" applyFill="1" applyBorder="1" applyAlignment="1" applyProtection="1">
      <alignment horizontal="center" vertical="center" wrapText="1"/>
      <protection/>
    </xf>
    <xf numFmtId="164" fontId="51" fillId="34" borderId="10" xfId="42" applyNumberFormat="1" applyFont="1" applyFill="1" applyBorder="1" applyAlignment="1" applyProtection="1">
      <alignment horizontal="center" vertical="center"/>
      <protection/>
    </xf>
    <xf numFmtId="164" fontId="11" fillId="35" borderId="10" xfId="42"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vertical="center"/>
      <protection locked="0"/>
    </xf>
    <xf numFmtId="49" fontId="11" fillId="0" borderId="18" xfId="0" applyNumberFormat="1" applyFont="1" applyBorder="1" applyAlignment="1" applyProtection="1">
      <alignment horizontal="center"/>
      <protection locked="0"/>
    </xf>
    <xf numFmtId="49" fontId="8" fillId="0" borderId="0" xfId="0" applyNumberFormat="1" applyFont="1" applyBorder="1" applyAlignment="1">
      <alignment horizontal="center"/>
    </xf>
    <xf numFmtId="164" fontId="10" fillId="0" borderId="0" xfId="42" applyNumberFormat="1" applyFont="1" applyFill="1" applyBorder="1" applyAlignment="1">
      <alignment wrapText="1"/>
    </xf>
    <xf numFmtId="164" fontId="8" fillId="33" borderId="10" xfId="42" applyNumberFormat="1" applyFont="1" applyFill="1" applyBorder="1" applyAlignment="1" applyProtection="1">
      <alignment horizontal="center" wrapText="1"/>
      <protection locked="0"/>
    </xf>
    <xf numFmtId="164" fontId="11" fillId="33" borderId="10" xfId="42" applyNumberFormat="1" applyFont="1" applyFill="1" applyBorder="1" applyAlignment="1" applyProtection="1">
      <alignment horizontal="center"/>
      <protection locked="0"/>
    </xf>
    <xf numFmtId="49" fontId="11" fillId="0" borderId="0" xfId="0" applyNumberFormat="1" applyFont="1" applyBorder="1" applyAlignment="1" applyProtection="1">
      <alignment horizontal="center"/>
      <protection locked="0"/>
    </xf>
    <xf numFmtId="49" fontId="11" fillId="33" borderId="0" xfId="0" applyNumberFormat="1" applyFont="1" applyFill="1" applyBorder="1" applyAlignment="1" applyProtection="1">
      <alignment horizontal="left"/>
      <protection locked="0"/>
    </xf>
    <xf numFmtId="164" fontId="8" fillId="33" borderId="0" xfId="42" applyNumberFormat="1" applyFont="1" applyFill="1" applyBorder="1" applyAlignment="1" applyProtection="1">
      <alignment horizontal="center" wrapText="1"/>
      <protection locked="0"/>
    </xf>
    <xf numFmtId="164" fontId="11" fillId="33" borderId="0" xfId="42" applyNumberFormat="1" applyFont="1" applyFill="1" applyBorder="1" applyAlignment="1" applyProtection="1">
      <alignment horizontal="center"/>
      <protection locked="0"/>
    </xf>
    <xf numFmtId="165" fontId="8" fillId="33" borderId="16" xfId="42" applyNumberFormat="1" applyFont="1" applyFill="1" applyBorder="1" applyAlignment="1" applyProtection="1">
      <alignment horizontal="center" wrapText="1"/>
      <protection locked="0"/>
    </xf>
    <xf numFmtId="165" fontId="8" fillId="33" borderId="10" xfId="42" applyNumberFormat="1" applyFont="1" applyFill="1" applyBorder="1" applyAlignment="1" applyProtection="1">
      <alignment horizontal="center"/>
      <protection locked="0"/>
    </xf>
    <xf numFmtId="49" fontId="0" fillId="0" borderId="14" xfId="0" applyNumberFormat="1" applyFill="1" applyBorder="1" applyAlignment="1">
      <alignment horizontal="right" vertical="top" wrapText="1"/>
    </xf>
    <xf numFmtId="164" fontId="8" fillId="33" borderId="0" xfId="42" applyNumberFormat="1" applyFont="1" applyFill="1" applyBorder="1" applyAlignment="1" applyProtection="1">
      <alignment horizontal="right" wrapText="1"/>
      <protection locked="0"/>
    </xf>
    <xf numFmtId="164" fontId="9" fillId="0" borderId="0" xfId="42" applyNumberFormat="1" applyFont="1" applyAlignment="1">
      <alignment horizontal="right"/>
    </xf>
    <xf numFmtId="49" fontId="0" fillId="0" borderId="0" xfId="0" applyNumberFormat="1" applyFont="1" applyAlignment="1">
      <alignment horizontal="right"/>
    </xf>
    <xf numFmtId="165" fontId="11" fillId="33" borderId="18" xfId="42" applyNumberFormat="1" applyFont="1" applyFill="1" applyBorder="1" applyAlignment="1" applyProtection="1">
      <alignment horizontal="center"/>
      <protection locked="0"/>
    </xf>
    <xf numFmtId="165" fontId="11" fillId="33" borderId="16" xfId="42" applyNumberFormat="1" applyFont="1" applyFill="1" applyBorder="1" applyAlignment="1" applyProtection="1">
      <alignment horizontal="center"/>
      <protection locked="0"/>
    </xf>
    <xf numFmtId="165" fontId="11" fillId="33" borderId="10" xfId="42" applyNumberFormat="1" applyFont="1" applyFill="1" applyBorder="1" applyAlignment="1" applyProtection="1">
      <alignment horizontal="center"/>
      <protection locked="0"/>
    </xf>
    <xf numFmtId="164" fontId="51" fillId="35" borderId="0" xfId="42" applyNumberFormat="1" applyFont="1" applyFill="1" applyBorder="1" applyAlignment="1" applyProtection="1">
      <alignment horizontal="center" vertical="center"/>
      <protection locked="0"/>
    </xf>
    <xf numFmtId="49" fontId="11" fillId="35" borderId="0" xfId="0" applyNumberFormat="1" applyFont="1" applyFill="1" applyBorder="1" applyAlignment="1" applyProtection="1">
      <alignment vertical="center"/>
      <protection locked="0"/>
    </xf>
    <xf numFmtId="49" fontId="11" fillId="35" borderId="0" xfId="0" applyNumberFormat="1" applyFont="1" applyFill="1" applyBorder="1" applyAlignment="1" applyProtection="1">
      <alignment horizontal="center" vertical="center"/>
      <protection locked="0"/>
    </xf>
    <xf numFmtId="165" fontId="8" fillId="33" borderId="10" xfId="42" applyNumberFormat="1" applyFont="1" applyFill="1" applyBorder="1" applyAlignment="1" applyProtection="1">
      <alignment horizontal="center" wrapText="1"/>
      <protection locked="0"/>
    </xf>
    <xf numFmtId="49" fontId="11" fillId="35" borderId="12" xfId="0" applyNumberFormat="1" applyFont="1" applyFill="1" applyBorder="1" applyAlignment="1" applyProtection="1">
      <alignment horizontal="center" vertical="center"/>
      <protection locked="0"/>
    </xf>
    <xf numFmtId="49" fontId="11" fillId="35" borderId="0" xfId="0" applyNumberFormat="1" applyFont="1" applyFill="1" applyBorder="1" applyAlignment="1" applyProtection="1">
      <alignment horizontal="center" vertical="center"/>
      <protection locked="0"/>
    </xf>
    <xf numFmtId="49" fontId="11" fillId="35" borderId="0" xfId="0" applyNumberFormat="1" applyFont="1" applyFill="1" applyBorder="1" applyAlignment="1" applyProtection="1">
      <alignment vertical="center"/>
      <protection locked="0"/>
    </xf>
    <xf numFmtId="164" fontId="24" fillId="33" borderId="10" xfId="42" applyNumberFormat="1" applyFont="1" applyFill="1" applyBorder="1" applyAlignment="1" applyProtection="1">
      <alignment horizontal="right" vertical="center"/>
      <protection locked="0"/>
    </xf>
    <xf numFmtId="164" fontId="57" fillId="33"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protection locked="0"/>
    </xf>
    <xf numFmtId="164" fontId="5" fillId="33" borderId="10" xfId="42" applyNumberFormat="1" applyFont="1" applyFill="1" applyBorder="1" applyAlignment="1" applyProtection="1">
      <alignment horizontal="center"/>
      <protection locked="0"/>
    </xf>
    <xf numFmtId="0" fontId="8" fillId="33" borderId="10" xfId="0" applyFont="1" applyFill="1" applyBorder="1" applyAlignment="1" applyProtection="1">
      <alignment horizontal="center" vertical="center" wrapText="1"/>
      <protection locked="0"/>
    </xf>
    <xf numFmtId="164" fontId="0" fillId="33" borderId="10" xfId="42" applyNumberFormat="1" applyFont="1" applyFill="1" applyBorder="1" applyAlignment="1" applyProtection="1">
      <alignment horizontal="right"/>
      <protection locked="0"/>
    </xf>
    <xf numFmtId="164" fontId="0" fillId="0" borderId="10" xfId="42" applyNumberFormat="1" applyFont="1" applyBorder="1" applyAlignment="1" applyProtection="1">
      <alignment horizontal="right"/>
      <protection locked="0"/>
    </xf>
    <xf numFmtId="164" fontId="0" fillId="0" borderId="10" xfId="42" applyNumberFormat="1" applyFont="1" applyBorder="1" applyAlignment="1" applyProtection="1">
      <alignment horizontal="right" vertical="center"/>
      <protection locked="0"/>
    </xf>
    <xf numFmtId="164" fontId="21" fillId="33" borderId="10" xfId="42" applyNumberFormat="1" applyFont="1" applyFill="1" applyBorder="1" applyAlignment="1" applyProtection="1">
      <alignment horizontal="right"/>
      <protection locked="0"/>
    </xf>
    <xf numFmtId="165" fontId="35" fillId="33" borderId="10" xfId="42" applyNumberFormat="1" applyFont="1" applyFill="1" applyBorder="1" applyAlignment="1" applyProtection="1">
      <alignment horizontal="center"/>
      <protection locked="0"/>
    </xf>
    <xf numFmtId="165" fontId="35" fillId="33" borderId="10" xfId="42" applyNumberFormat="1" applyFont="1" applyFill="1" applyBorder="1" applyAlignment="1" applyProtection="1">
      <alignment/>
      <protection locked="0"/>
    </xf>
    <xf numFmtId="165" fontId="6" fillId="33" borderId="10" xfId="42" applyNumberFormat="1" applyFont="1" applyFill="1" applyBorder="1" applyAlignment="1" applyProtection="1">
      <alignment horizontal="center"/>
      <protection locked="0"/>
    </xf>
    <xf numFmtId="165" fontId="3" fillId="33" borderId="10" xfId="42" applyNumberFormat="1" applyFont="1" applyFill="1" applyBorder="1" applyAlignment="1" applyProtection="1">
      <alignment horizontal="center"/>
      <protection locked="0"/>
    </xf>
    <xf numFmtId="165" fontId="0" fillId="33" borderId="10" xfId="42" applyNumberFormat="1" applyFont="1" applyFill="1" applyBorder="1" applyAlignment="1" applyProtection="1">
      <alignment horizontal="center"/>
      <protection locked="0"/>
    </xf>
    <xf numFmtId="165" fontId="23" fillId="33" borderId="10" xfId="42" applyNumberFormat="1" applyFont="1" applyFill="1" applyBorder="1" applyAlignment="1" applyProtection="1">
      <alignment horizontal="right"/>
      <protection locked="0"/>
    </xf>
    <xf numFmtId="164" fontId="6" fillId="33" borderId="10" xfId="42" applyNumberFormat="1" applyFont="1" applyFill="1" applyBorder="1" applyAlignment="1" applyProtection="1">
      <alignment horizontal="right"/>
      <protection locked="0"/>
    </xf>
    <xf numFmtId="164" fontId="3" fillId="33" borderId="10" xfId="42" applyNumberFormat="1" applyFont="1" applyFill="1" applyBorder="1" applyAlignment="1" applyProtection="1">
      <alignment horizontal="right"/>
      <protection locked="0"/>
    </xf>
    <xf numFmtId="164" fontId="23" fillId="33" borderId="10" xfId="42" applyNumberFormat="1" applyFont="1" applyFill="1" applyBorder="1" applyAlignment="1" applyProtection="1">
      <alignment horizontal="right"/>
      <protection locked="0"/>
    </xf>
    <xf numFmtId="165" fontId="0" fillId="33" borderId="10" xfId="42" applyNumberFormat="1" applyFont="1" applyFill="1" applyBorder="1" applyAlignment="1" applyProtection="1">
      <alignment horizontal="right"/>
      <protection locked="0"/>
    </xf>
    <xf numFmtId="165" fontId="3" fillId="33" borderId="10" xfId="42" applyNumberFormat="1" applyFont="1" applyFill="1" applyBorder="1" applyAlignment="1" applyProtection="1">
      <alignment horizontal="right"/>
      <protection locked="0"/>
    </xf>
    <xf numFmtId="165" fontId="36" fillId="33" borderId="10" xfId="42" applyNumberFormat="1" applyFont="1" applyFill="1" applyBorder="1" applyAlignment="1" applyProtection="1">
      <alignment horizontal="center"/>
      <protection locked="0"/>
    </xf>
    <xf numFmtId="165" fontId="24" fillId="33" borderId="10" xfId="42" applyNumberFormat="1" applyFont="1" applyFill="1" applyBorder="1" applyAlignment="1" applyProtection="1">
      <alignment horizontal="right" vertical="center"/>
      <protection locked="0"/>
    </xf>
    <xf numFmtId="165" fontId="21" fillId="33" borderId="10" xfId="42" applyNumberFormat="1" applyFont="1" applyFill="1" applyBorder="1" applyAlignment="1" applyProtection="1">
      <alignment horizontal="center"/>
      <protection locked="0"/>
    </xf>
    <xf numFmtId="165" fontId="0" fillId="33" borderId="10" xfId="42" applyNumberFormat="1" applyFont="1" applyFill="1" applyBorder="1" applyAlignment="1" applyProtection="1">
      <alignment horizontal="center"/>
      <protection locked="0"/>
    </xf>
    <xf numFmtId="165" fontId="0" fillId="0" borderId="10" xfId="42" applyNumberFormat="1" applyFont="1" applyBorder="1" applyAlignment="1" applyProtection="1">
      <alignment horizontal="right"/>
      <protection locked="0"/>
    </xf>
    <xf numFmtId="165" fontId="5" fillId="33" borderId="10" xfId="42" applyNumberFormat="1" applyFont="1" applyFill="1" applyBorder="1" applyAlignment="1" applyProtection="1">
      <alignment horizontal="center"/>
      <protection locked="0"/>
    </xf>
    <xf numFmtId="165" fontId="0" fillId="0" borderId="10" xfId="42" applyNumberFormat="1" applyFont="1" applyBorder="1" applyAlignment="1" applyProtection="1">
      <alignment/>
      <protection locked="0"/>
    </xf>
    <xf numFmtId="10" fontId="7" fillId="36" borderId="10" xfId="59" applyNumberFormat="1" applyFont="1" applyFill="1" applyBorder="1" applyAlignment="1" applyProtection="1">
      <alignment horizontal="center" vertical="center"/>
      <protection locked="0"/>
    </xf>
    <xf numFmtId="164" fontId="97" fillId="33" borderId="10" xfId="42" applyNumberFormat="1" applyFont="1" applyFill="1" applyBorder="1" applyAlignment="1" applyProtection="1">
      <alignment horizontal="center" vertical="center"/>
      <protection locked="0"/>
    </xf>
    <xf numFmtId="165" fontId="6" fillId="33" borderId="10" xfId="42" applyNumberFormat="1" applyFont="1" applyFill="1" applyBorder="1" applyAlignment="1" applyProtection="1">
      <alignment horizontal="right"/>
      <protection locked="0"/>
    </xf>
    <xf numFmtId="0" fontId="2" fillId="0" borderId="10" xfId="0" applyFont="1" applyBorder="1" applyAlignment="1" applyProtection="1">
      <alignment wrapText="1"/>
      <protection locked="0"/>
    </xf>
    <xf numFmtId="165" fontId="2" fillId="33" borderId="16" xfId="42" applyNumberFormat="1" applyFont="1" applyFill="1" applyBorder="1" applyAlignment="1" applyProtection="1">
      <alignment horizontal="center" wrapText="1"/>
      <protection locked="0"/>
    </xf>
    <xf numFmtId="164" fontId="2" fillId="33" borderId="18" xfId="42" applyNumberFormat="1" applyFont="1" applyFill="1" applyBorder="1" applyAlignment="1" applyProtection="1">
      <alignment horizontal="center"/>
      <protection locked="0"/>
    </xf>
    <xf numFmtId="164" fontId="2" fillId="33" borderId="16" xfId="42" applyNumberFormat="1" applyFont="1" applyFill="1" applyBorder="1" applyAlignment="1" applyProtection="1">
      <alignment horizontal="center" wrapText="1"/>
      <protection locked="0"/>
    </xf>
    <xf numFmtId="165" fontId="2" fillId="33" borderId="18" xfId="42" applyNumberFormat="1" applyFont="1" applyFill="1" applyBorder="1" applyAlignment="1" applyProtection="1">
      <alignment horizontal="center"/>
      <protection locked="0"/>
    </xf>
    <xf numFmtId="165" fontId="2" fillId="33" borderId="16" xfId="42" applyNumberFormat="1" applyFont="1" applyFill="1" applyBorder="1" applyAlignment="1" applyProtection="1">
      <alignment horizontal="center"/>
      <protection locked="0"/>
    </xf>
    <xf numFmtId="49" fontId="11" fillId="35" borderId="10" xfId="0" applyNumberFormat="1" applyFont="1" applyFill="1" applyBorder="1" applyAlignment="1" applyProtection="1">
      <alignment horizontal="center" vertical="center" wrapText="1"/>
      <protection/>
    </xf>
    <xf numFmtId="49" fontId="11" fillId="33" borderId="0" xfId="0" applyNumberFormat="1" applyFont="1" applyFill="1" applyAlignment="1">
      <alignment/>
    </xf>
    <xf numFmtId="164" fontId="11" fillId="36" borderId="10" xfId="42" applyNumberFormat="1" applyFont="1" applyFill="1" applyBorder="1" applyAlignment="1" applyProtection="1">
      <alignment horizontal="center" vertical="center"/>
      <protection/>
    </xf>
    <xf numFmtId="10" fontId="11" fillId="36" borderId="10" xfId="59" applyNumberFormat="1" applyFont="1" applyFill="1" applyBorder="1" applyAlignment="1" applyProtection="1">
      <alignment horizontal="center" vertical="center"/>
      <protection locked="0"/>
    </xf>
    <xf numFmtId="49" fontId="11" fillId="35" borderId="0" xfId="0" applyNumberFormat="1" applyFont="1" applyFill="1" applyAlignment="1">
      <alignment/>
    </xf>
    <xf numFmtId="10" fontId="11" fillId="35" borderId="10" xfId="59" applyNumberFormat="1" applyFont="1" applyFill="1" applyBorder="1" applyAlignment="1" applyProtection="1">
      <alignment horizontal="center" vertical="center"/>
      <protection locked="0"/>
    </xf>
    <xf numFmtId="164" fontId="98" fillId="35" borderId="10" xfId="42" applyNumberFormat="1" applyFont="1" applyFill="1" applyBorder="1" applyAlignment="1" applyProtection="1">
      <alignment horizontal="center" vertical="center"/>
      <protection/>
    </xf>
    <xf numFmtId="164" fontId="11" fillId="35" borderId="0" xfId="42" applyNumberFormat="1" applyFont="1" applyFill="1" applyBorder="1" applyAlignment="1" applyProtection="1">
      <alignment horizontal="center" vertical="center"/>
      <protection locked="0"/>
    </xf>
    <xf numFmtId="164" fontId="11" fillId="35" borderId="0" xfId="42" applyNumberFormat="1" applyFont="1" applyFill="1" applyBorder="1" applyAlignment="1" applyProtection="1">
      <alignment horizontal="center" vertical="center"/>
      <protection/>
    </xf>
    <xf numFmtId="164" fontId="11" fillId="35" borderId="0" xfId="42" applyNumberFormat="1" applyFont="1" applyFill="1" applyBorder="1" applyAlignment="1" applyProtection="1">
      <alignment horizontal="center"/>
      <protection locked="0"/>
    </xf>
    <xf numFmtId="10" fontId="11" fillId="35" borderId="0" xfId="59" applyNumberFormat="1" applyFont="1" applyFill="1" applyBorder="1" applyAlignment="1" applyProtection="1">
      <alignment horizontal="center" vertical="center"/>
      <protection locked="0"/>
    </xf>
    <xf numFmtId="164" fontId="51" fillId="35" borderId="0" xfId="42" applyNumberFormat="1" applyFont="1" applyFill="1" applyBorder="1" applyAlignment="1" applyProtection="1">
      <alignment horizontal="center" vertical="center" wrapText="1"/>
      <protection/>
    </xf>
    <xf numFmtId="10" fontId="51" fillId="35" borderId="0" xfId="59" applyNumberFormat="1" applyFont="1" applyFill="1" applyBorder="1" applyAlignment="1" applyProtection="1">
      <alignment horizontal="center" vertical="center" wrapText="1"/>
      <protection locked="0"/>
    </xf>
    <xf numFmtId="164" fontId="8" fillId="35" borderId="10" xfId="42" applyNumberFormat="1" applyFont="1" applyFill="1" applyBorder="1" applyAlignment="1" applyProtection="1">
      <alignment horizontal="center" vertical="center"/>
      <protection/>
    </xf>
    <xf numFmtId="10" fontId="8" fillId="35" borderId="10" xfId="59" applyNumberFormat="1" applyFont="1" applyFill="1" applyBorder="1" applyAlignment="1" applyProtection="1">
      <alignment horizontal="center" vertical="center"/>
      <protection locked="0"/>
    </xf>
    <xf numFmtId="49" fontId="2" fillId="33" borderId="0" xfId="0" applyNumberFormat="1" applyFont="1" applyFill="1" applyAlignment="1" applyProtection="1">
      <alignment/>
      <protection locked="0"/>
    </xf>
    <xf numFmtId="49" fontId="2" fillId="33" borderId="0" xfId="0" applyNumberFormat="1" applyFont="1" applyFill="1" applyAlignment="1">
      <alignment/>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16"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164"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2" applyNumberFormat="1" applyFont="1" applyFill="1" applyBorder="1" applyAlignment="1" applyProtection="1">
      <alignment horizontal="center" vertical="center" wrapText="1"/>
      <protection locked="0"/>
    </xf>
    <xf numFmtId="43" fontId="1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8" fillId="33" borderId="18"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2"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top" wrapText="1"/>
      <protection locked="0"/>
    </xf>
    <xf numFmtId="49" fontId="0" fillId="0" borderId="0" xfId="0" applyNumberFormat="1" applyFill="1" applyAlignment="1" applyProtection="1">
      <alignment horizontal="left" vertical="top" wrapText="1"/>
      <protection locked="0"/>
    </xf>
    <xf numFmtId="49" fontId="8" fillId="33" borderId="17"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6" fillId="0" borderId="0" xfId="0" applyNumberFormat="1" applyFont="1" applyAlignment="1" applyProtection="1">
      <alignment horizontal="left"/>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50" fillId="33" borderId="10"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8"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9" fillId="0" borderId="0" xfId="0" applyNumberFormat="1" applyFont="1" applyFill="1" applyBorder="1" applyAlignment="1">
      <alignment horizontal="center" vertical="top"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1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2"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49" fontId="0" fillId="0" borderId="14" xfId="0" applyNumberFormat="1" applyFont="1" applyFill="1" applyBorder="1" applyAlignment="1">
      <alignment horizontal="right"/>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6" fillId="0" borderId="0" xfId="0" applyNumberFormat="1" applyFont="1" applyAlignment="1">
      <alignment horizontal="left"/>
    </xf>
    <xf numFmtId="49" fontId="8" fillId="33" borderId="17"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2"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1" fontId="11" fillId="33" borderId="10" xfId="0" applyNumberFormat="1" applyFont="1" applyFill="1" applyBorder="1" applyAlignment="1">
      <alignment horizontal="center" vertical="center" wrapText="1"/>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0"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4" fontId="10" fillId="0" borderId="0" xfId="42" applyNumberFormat="1" applyFont="1" applyFill="1" applyBorder="1" applyAlignment="1" applyProtection="1">
      <alignment horizontal="center" wrapText="1"/>
      <protection/>
    </xf>
    <xf numFmtId="43" fontId="10" fillId="0" borderId="0" xfId="42" applyFont="1" applyFill="1" applyBorder="1" applyAlignment="1" applyProtection="1">
      <alignment horizontal="center" wrapText="1"/>
      <protection/>
    </xf>
    <xf numFmtId="14" fontId="10" fillId="0" borderId="0" xfId="42" applyNumberFormat="1" applyFont="1" applyFill="1" applyBorder="1" applyAlignment="1" applyProtection="1">
      <alignment horizontal="center" vertical="center" wrapText="1"/>
      <protection/>
    </xf>
    <xf numFmtId="43" fontId="10" fillId="0" borderId="0" xfId="42"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0" fillId="34" borderId="13" xfId="0" applyNumberFormat="1" applyFont="1" applyFill="1" applyBorder="1" applyAlignment="1">
      <alignment horizontal="center" wrapText="1"/>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11" fillId="34" borderId="12"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8"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49" fontId="11" fillId="34" borderId="23"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8" fillId="33" borderId="11"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8"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0" fillId="34" borderId="14"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64" fontId="9" fillId="0" borderId="0" xfId="42" applyNumberFormat="1" applyFont="1" applyFill="1" applyAlignment="1">
      <alignment horizontal="center"/>
    </xf>
    <xf numFmtId="164" fontId="9" fillId="0" borderId="0" xfId="42"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64" fontId="10" fillId="0" borderId="13" xfId="42" applyNumberFormat="1" applyFont="1" applyFill="1" applyBorder="1" applyAlignment="1">
      <alignment horizontal="center" wrapText="1"/>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15" fillId="0" borderId="14" xfId="0" applyNumberFormat="1" applyFont="1" applyBorder="1" applyAlignment="1">
      <alignment horizontal="right"/>
    </xf>
    <xf numFmtId="43" fontId="9" fillId="0" borderId="0" xfId="42" applyFont="1" applyAlignment="1">
      <alignment horizontal="center"/>
    </xf>
    <xf numFmtId="164" fontId="10" fillId="0" borderId="0" xfId="42" applyNumberFormat="1" applyFont="1" applyFill="1" applyBorder="1" applyAlignment="1">
      <alignment horizontal="center" wrapText="1"/>
    </xf>
    <xf numFmtId="49" fontId="8" fillId="0" borderId="20"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164" fontId="10" fillId="33" borderId="0" xfId="42" applyNumberFormat="1" applyFont="1" applyFill="1" applyBorder="1" applyAlignment="1">
      <alignment horizontal="center"/>
    </xf>
    <xf numFmtId="43" fontId="9" fillId="0" borderId="0" xfId="42" applyFont="1" applyFill="1" applyBorder="1" applyAlignment="1">
      <alignment horizontal="center" vertical="center" wrapText="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15" fillId="33" borderId="14" xfId="0" applyNumberFormat="1" applyFont="1" applyFill="1" applyBorder="1" applyAlignment="1">
      <alignment horizontal="right" vertical="top" wrapText="1"/>
    </xf>
    <xf numFmtId="49" fontId="8" fillId="0" borderId="12" xfId="0" applyNumberFormat="1" applyFont="1" applyFill="1" applyBorder="1" applyAlignment="1">
      <alignment horizontal="right" vertical="center" wrapText="1" readingOrder="1"/>
    </xf>
    <xf numFmtId="49" fontId="8" fillId="0" borderId="19" xfId="0" applyNumberFormat="1" applyFont="1" applyFill="1" applyBorder="1" applyAlignment="1">
      <alignment horizontal="right" vertical="center" wrapText="1" readingOrder="1"/>
    </xf>
    <xf numFmtId="49" fontId="8" fillId="0" borderId="1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99" fillId="0" borderId="12" xfId="0" applyNumberFormat="1" applyFont="1" applyFill="1" applyBorder="1" applyAlignment="1">
      <alignment horizontal="center" vertical="center" wrapText="1" readingOrder="1"/>
    </xf>
    <xf numFmtId="49" fontId="99" fillId="0" borderId="19"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17"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2" xfId="0" applyNumberFormat="1" applyFont="1" applyFill="1" applyBorder="1" applyAlignment="1">
      <alignment horizontal="center"/>
    </xf>
    <xf numFmtId="49" fontId="8" fillId="0" borderId="17" xfId="0" applyNumberFormat="1" applyFont="1" applyFill="1" applyBorder="1" applyAlignment="1">
      <alignment horizontal="center"/>
    </xf>
    <xf numFmtId="49" fontId="8" fillId="0" borderId="10"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0" fontId="36" fillId="0" borderId="2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40" fillId="0" borderId="0" xfId="0" applyNumberFormat="1" applyFont="1" applyBorder="1" applyAlignment="1">
      <alignment horizontal="justify" vertical="justify" wrapText="1"/>
    </xf>
    <xf numFmtId="0" fontId="36" fillId="0" borderId="11" xfId="0" applyFont="1" applyBorder="1" applyAlignment="1" applyProtection="1">
      <alignment horizontal="center" wrapText="1"/>
      <protection locked="0"/>
    </xf>
    <xf numFmtId="0" fontId="36" fillId="0" borderId="17" xfId="0" applyFont="1" applyBorder="1" applyAlignment="1" applyProtection="1">
      <alignment horizontal="center" wrapText="1"/>
      <protection locked="0"/>
    </xf>
    <xf numFmtId="164" fontId="10" fillId="0" borderId="13" xfId="42" applyNumberFormat="1" applyFont="1" applyBorder="1" applyAlignment="1">
      <alignment horizontal="center"/>
    </xf>
    <xf numFmtId="0" fontId="30" fillId="0" borderId="0" xfId="0" applyFont="1" applyAlignment="1" applyProtection="1">
      <alignment horizontal="center" vertical="top" wrapText="1"/>
      <protection locked="0"/>
    </xf>
    <xf numFmtId="0" fontId="36" fillId="0" borderId="10" xfId="0"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6" fillId="0" borderId="19" xfId="0" applyNumberFormat="1" applyFont="1" applyFill="1" applyBorder="1" applyAlignment="1">
      <alignment horizontal="center" vertical="center"/>
    </xf>
    <xf numFmtId="0" fontId="54" fillId="0" borderId="14" xfId="0" applyFont="1" applyBorder="1" applyAlignment="1">
      <alignment horizontal="right"/>
    </xf>
    <xf numFmtId="0" fontId="36" fillId="0" borderId="11"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7" xfId="0" applyFont="1" applyFill="1" applyBorder="1" applyAlignment="1">
      <alignment horizontal="center" vertical="center"/>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9" fillId="0" borderId="14" xfId="0" applyFont="1" applyBorder="1" applyAlignment="1">
      <alignment horizontal="right"/>
    </xf>
    <xf numFmtId="164" fontId="50" fillId="35" borderId="10" xfId="42" applyNumberFormat="1" applyFont="1" applyFill="1" applyBorder="1" applyAlignment="1" applyProtection="1">
      <alignment horizontal="center" vertical="center" wrapText="1"/>
      <protection/>
    </xf>
    <xf numFmtId="10" fontId="50" fillId="35" borderId="10" xfId="59" applyNumberFormat="1" applyFont="1" applyFill="1" applyBorder="1" applyAlignment="1" applyProtection="1">
      <alignment horizontal="center" vertical="center" wrapText="1"/>
      <protection locked="0"/>
    </xf>
    <xf numFmtId="164" fontId="7" fillId="35" borderId="10" xfId="42" applyNumberFormat="1" applyFont="1" applyFill="1" applyBorder="1" applyAlignment="1" applyProtection="1">
      <alignment horizontal="center" vertical="center" wrapText="1"/>
      <protection/>
    </xf>
    <xf numFmtId="10" fontId="7" fillId="35" borderId="10" xfId="59" applyNumberFormat="1" applyFont="1" applyFill="1" applyBorder="1" applyAlignment="1" applyProtection="1">
      <alignment horizontal="center" vertical="center" wrapText="1"/>
      <protection locked="0"/>
    </xf>
    <xf numFmtId="164" fontId="7" fillId="35" borderId="10" xfId="42" applyNumberFormat="1" applyFont="1" applyFill="1" applyBorder="1" applyAlignment="1" applyProtection="1">
      <alignment horizontal="center" vertical="center"/>
      <protection locked="0"/>
    </xf>
    <xf numFmtId="164" fontId="7" fillId="35" borderId="10" xfId="42" applyNumberFormat="1" applyFont="1" applyFill="1" applyBorder="1" applyAlignment="1" applyProtection="1">
      <alignment horizontal="center" vertical="center"/>
      <protection/>
    </xf>
    <xf numFmtId="164" fontId="7" fillId="35" borderId="18" xfId="42" applyNumberFormat="1" applyFont="1" applyFill="1" applyBorder="1" applyAlignment="1" applyProtection="1">
      <alignment vertical="center" wrapText="1"/>
      <protection locked="0"/>
    </xf>
    <xf numFmtId="164" fontId="7" fillId="35" borderId="10" xfId="42"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8194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8194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8194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956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933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933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9337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105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105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105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C10" sqref="C10"/>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60" t="s">
        <v>297</v>
      </c>
      <c r="B1" s="460"/>
      <c r="C1" s="239" t="s">
        <v>298</v>
      </c>
    </row>
    <row r="2" spans="1:3" ht="48.75" customHeight="1">
      <c r="A2" s="461" t="s">
        <v>306</v>
      </c>
      <c r="B2" s="461"/>
      <c r="C2" s="221" t="s">
        <v>398</v>
      </c>
    </row>
    <row r="3" spans="1:3" ht="15.75">
      <c r="A3" s="458" t="s">
        <v>301</v>
      </c>
      <c r="B3" s="218" t="s">
        <v>303</v>
      </c>
      <c r="C3" s="219" t="s">
        <v>337</v>
      </c>
    </row>
    <row r="4" spans="1:3" ht="15.75">
      <c r="A4" s="458"/>
      <c r="B4" s="218" t="s">
        <v>302</v>
      </c>
      <c r="C4" s="220" t="s">
        <v>451</v>
      </c>
    </row>
    <row r="5" spans="1:3" ht="15.75">
      <c r="A5" s="458"/>
      <c r="B5" s="218" t="s">
        <v>300</v>
      </c>
      <c r="C5" s="219" t="s">
        <v>307</v>
      </c>
    </row>
    <row r="6" spans="1:3" ht="15.75">
      <c r="A6" s="459" t="s">
        <v>299</v>
      </c>
      <c r="B6" s="218" t="s">
        <v>304</v>
      </c>
      <c r="C6" s="219" t="s">
        <v>397</v>
      </c>
    </row>
    <row r="7" spans="1:3" ht="15.75">
      <c r="A7" s="459"/>
      <c r="B7" s="218" t="s">
        <v>302</v>
      </c>
      <c r="C7" s="219" t="s">
        <v>451</v>
      </c>
    </row>
    <row r="8" spans="1:3" ht="21.75" customHeight="1">
      <c r="A8" s="462" t="s">
        <v>305</v>
      </c>
      <c r="B8" s="462"/>
      <c r="C8" s="219" t="s">
        <v>447</v>
      </c>
    </row>
    <row r="9" spans="1:3" ht="36" customHeight="1">
      <c r="A9" s="457" t="s">
        <v>313</v>
      </c>
      <c r="B9" s="457"/>
      <c r="C9" s="457"/>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4" customWidth="1"/>
    <col min="14" max="15" width="6.25390625" style="84" customWidth="1"/>
    <col min="16" max="16" width="5.25390625" style="84" customWidth="1"/>
    <col min="17" max="17" width="6.625" style="84" customWidth="1"/>
    <col min="18" max="18" width="7.00390625" style="84" customWidth="1"/>
    <col min="19" max="19" width="6.50390625" style="84" customWidth="1"/>
    <col min="20" max="20" width="5.875" style="84" customWidth="1"/>
    <col min="21" max="21" width="6.50390625" style="84" customWidth="1"/>
    <col min="22" max="16384" width="9.00390625" style="64" customWidth="1"/>
  </cols>
  <sheetData>
    <row r="1" spans="1:22" ht="64.5" customHeight="1">
      <c r="A1" s="613" t="s">
        <v>153</v>
      </c>
      <c r="B1" s="613"/>
      <c r="C1" s="613"/>
      <c r="D1" s="613"/>
      <c r="E1" s="613"/>
      <c r="F1" s="623" t="s">
        <v>126</v>
      </c>
      <c r="G1" s="623"/>
      <c r="H1" s="623"/>
      <c r="I1" s="623"/>
      <c r="J1" s="623"/>
      <c r="K1" s="623"/>
      <c r="L1" s="623"/>
      <c r="M1" s="623"/>
      <c r="N1" s="623"/>
      <c r="O1" s="623"/>
      <c r="P1" s="623"/>
      <c r="Q1" s="621" t="s">
        <v>150</v>
      </c>
      <c r="R1" s="621"/>
      <c r="S1" s="621"/>
      <c r="T1" s="621"/>
      <c r="U1" s="621"/>
      <c r="V1" s="67"/>
    </row>
    <row r="2" spans="1:22" s="74" customFormat="1" ht="18" customHeight="1">
      <c r="A2" s="68"/>
      <c r="B2" s="69"/>
      <c r="C2" s="69"/>
      <c r="D2" s="69"/>
      <c r="E2" s="64"/>
      <c r="F2" s="64"/>
      <c r="G2" s="64"/>
      <c r="H2" s="64"/>
      <c r="I2" s="64"/>
      <c r="J2" s="70"/>
      <c r="K2" s="70"/>
      <c r="L2" s="71">
        <f>COUNTBLANK(E9:U22)</f>
        <v>238</v>
      </c>
      <c r="M2" s="72">
        <f>COUNTA(E11:U11)</f>
        <v>0</v>
      </c>
      <c r="N2" s="72">
        <f>L2+M2</f>
        <v>238</v>
      </c>
      <c r="O2" s="72"/>
      <c r="P2" s="73"/>
      <c r="Q2" s="73"/>
      <c r="R2" s="622" t="s">
        <v>120</v>
      </c>
      <c r="S2" s="622"/>
      <c r="T2" s="622"/>
      <c r="U2" s="622"/>
      <c r="V2" s="64"/>
    </row>
    <row r="3" spans="1:22" s="75" customFormat="1" ht="15.75" customHeight="1">
      <c r="A3" s="612" t="s">
        <v>21</v>
      </c>
      <c r="B3" s="612"/>
      <c r="C3" s="627" t="s">
        <v>132</v>
      </c>
      <c r="D3" s="620" t="s">
        <v>134</v>
      </c>
      <c r="E3" s="633" t="s">
        <v>75</v>
      </c>
      <c r="F3" s="634"/>
      <c r="G3" s="619" t="s">
        <v>36</v>
      </c>
      <c r="H3" s="619" t="s">
        <v>82</v>
      </c>
      <c r="I3" s="631" t="s">
        <v>37</v>
      </c>
      <c r="J3" s="632"/>
      <c r="K3" s="632"/>
      <c r="L3" s="632"/>
      <c r="M3" s="632"/>
      <c r="N3" s="632"/>
      <c r="O3" s="632"/>
      <c r="P3" s="632"/>
      <c r="Q3" s="632"/>
      <c r="R3" s="632"/>
      <c r="S3" s="632"/>
      <c r="T3" s="630" t="s">
        <v>103</v>
      </c>
      <c r="U3" s="620" t="s">
        <v>108</v>
      </c>
      <c r="V3" s="74"/>
    </row>
    <row r="4" spans="1:22" s="74" customFormat="1" ht="15.75" customHeight="1">
      <c r="A4" s="612"/>
      <c r="B4" s="612"/>
      <c r="C4" s="628"/>
      <c r="D4" s="620"/>
      <c r="E4" s="615" t="s">
        <v>137</v>
      </c>
      <c r="F4" s="615" t="s">
        <v>62</v>
      </c>
      <c r="G4" s="619"/>
      <c r="H4" s="619"/>
      <c r="I4" s="619" t="s">
        <v>37</v>
      </c>
      <c r="J4" s="620" t="s">
        <v>38</v>
      </c>
      <c r="K4" s="620"/>
      <c r="L4" s="620"/>
      <c r="M4" s="620"/>
      <c r="N4" s="620"/>
      <c r="O4" s="620"/>
      <c r="P4" s="620"/>
      <c r="Q4" s="624" t="s">
        <v>139</v>
      </c>
      <c r="R4" s="624" t="s">
        <v>148</v>
      </c>
      <c r="S4" s="624" t="s">
        <v>81</v>
      </c>
      <c r="T4" s="630"/>
      <c r="U4" s="620"/>
      <c r="V4" s="75"/>
    </row>
    <row r="5" spans="1:21" s="74" customFormat="1" ht="18" customHeight="1">
      <c r="A5" s="612"/>
      <c r="B5" s="612"/>
      <c r="C5" s="628"/>
      <c r="D5" s="620"/>
      <c r="E5" s="616"/>
      <c r="F5" s="616"/>
      <c r="G5" s="619"/>
      <c r="H5" s="619"/>
      <c r="I5" s="619"/>
      <c r="J5" s="619" t="s">
        <v>61</v>
      </c>
      <c r="K5" s="609" t="s">
        <v>4</v>
      </c>
      <c r="L5" s="610"/>
      <c r="M5" s="610"/>
      <c r="N5" s="610"/>
      <c r="O5" s="610"/>
      <c r="P5" s="611"/>
      <c r="Q5" s="626"/>
      <c r="R5" s="626"/>
      <c r="S5" s="626"/>
      <c r="T5" s="630"/>
      <c r="U5" s="620"/>
    </row>
    <row r="6" spans="1:21" s="74" customFormat="1" ht="18.75" customHeight="1">
      <c r="A6" s="612"/>
      <c r="B6" s="612"/>
      <c r="C6" s="628"/>
      <c r="D6" s="620"/>
      <c r="E6" s="616"/>
      <c r="F6" s="616"/>
      <c r="G6" s="619"/>
      <c r="H6" s="619"/>
      <c r="I6" s="619"/>
      <c r="J6" s="619"/>
      <c r="K6" s="624" t="s">
        <v>96</v>
      </c>
      <c r="L6" s="609" t="s">
        <v>4</v>
      </c>
      <c r="M6" s="611"/>
      <c r="N6" s="624" t="s">
        <v>42</v>
      </c>
      <c r="O6" s="624" t="s">
        <v>147</v>
      </c>
      <c r="P6" s="624" t="s">
        <v>46</v>
      </c>
      <c r="Q6" s="626"/>
      <c r="R6" s="626"/>
      <c r="S6" s="626"/>
      <c r="T6" s="630"/>
      <c r="U6" s="620"/>
    </row>
    <row r="7" spans="1:22" ht="36">
      <c r="A7" s="612"/>
      <c r="B7" s="612"/>
      <c r="C7" s="629"/>
      <c r="D7" s="620"/>
      <c r="E7" s="617"/>
      <c r="F7" s="617"/>
      <c r="G7" s="619"/>
      <c r="H7" s="619"/>
      <c r="I7" s="619"/>
      <c r="J7" s="619"/>
      <c r="K7" s="625"/>
      <c r="L7" s="65" t="s">
        <v>39</v>
      </c>
      <c r="M7" s="65" t="s">
        <v>97</v>
      </c>
      <c r="N7" s="625"/>
      <c r="O7" s="625"/>
      <c r="P7" s="625"/>
      <c r="Q7" s="625"/>
      <c r="R7" s="625"/>
      <c r="S7" s="625"/>
      <c r="T7" s="630"/>
      <c r="U7" s="620"/>
      <c r="V7" s="74"/>
    </row>
    <row r="8" spans="1:21" ht="15.75">
      <c r="A8" s="608" t="s">
        <v>3</v>
      </c>
      <c r="B8" s="608"/>
      <c r="C8" s="76" t="s">
        <v>13</v>
      </c>
      <c r="D8" s="76" t="s">
        <v>14</v>
      </c>
      <c r="E8" s="76" t="s">
        <v>19</v>
      </c>
      <c r="F8" s="76" t="s">
        <v>22</v>
      </c>
      <c r="G8" s="76" t="s">
        <v>23</v>
      </c>
      <c r="H8" s="76" t="s">
        <v>24</v>
      </c>
      <c r="I8" s="76" t="s">
        <v>25</v>
      </c>
      <c r="J8" s="76" t="s">
        <v>26</v>
      </c>
      <c r="K8" s="76" t="s">
        <v>27</v>
      </c>
      <c r="L8" s="76" t="s">
        <v>29</v>
      </c>
      <c r="M8" s="76" t="s">
        <v>30</v>
      </c>
      <c r="N8" s="76" t="s">
        <v>104</v>
      </c>
      <c r="O8" s="76" t="s">
        <v>101</v>
      </c>
      <c r="P8" s="76" t="s">
        <v>105</v>
      </c>
      <c r="Q8" s="76" t="s">
        <v>106</v>
      </c>
      <c r="R8" s="76" t="s">
        <v>107</v>
      </c>
      <c r="S8" s="76" t="s">
        <v>118</v>
      </c>
      <c r="T8" s="76" t="s">
        <v>131</v>
      </c>
      <c r="U8" s="76" t="s">
        <v>133</v>
      </c>
    </row>
    <row r="9" spans="1:21" ht="15.75">
      <c r="A9" s="608" t="s">
        <v>10</v>
      </c>
      <c r="B9" s="608"/>
      <c r="C9" s="77"/>
      <c r="D9" s="77"/>
      <c r="E9" s="77"/>
      <c r="F9" s="77"/>
      <c r="G9" s="77"/>
      <c r="H9" s="77"/>
      <c r="I9" s="77"/>
      <c r="J9" s="77"/>
      <c r="K9" s="77"/>
      <c r="L9" s="77"/>
      <c r="M9" s="77"/>
      <c r="N9" s="77"/>
      <c r="O9" s="77"/>
      <c r="P9" s="78"/>
      <c r="Q9" s="78"/>
      <c r="R9" s="78"/>
      <c r="S9" s="78"/>
      <c r="T9" s="77"/>
      <c r="U9" s="77"/>
    </row>
    <row r="10" spans="1:21" ht="15.75">
      <c r="A10" s="79" t="s">
        <v>0</v>
      </c>
      <c r="B10" s="80" t="s">
        <v>28</v>
      </c>
      <c r="C10" s="77"/>
      <c r="D10" s="77"/>
      <c r="E10" s="77"/>
      <c r="F10" s="77"/>
      <c r="G10" s="77"/>
      <c r="H10" s="77"/>
      <c r="I10" s="77"/>
      <c r="J10" s="77"/>
      <c r="K10" s="77"/>
      <c r="L10" s="77"/>
      <c r="M10" s="77"/>
      <c r="N10" s="77"/>
      <c r="O10" s="77"/>
      <c r="P10" s="78"/>
      <c r="Q10" s="78"/>
      <c r="R10" s="78"/>
      <c r="S10" s="78"/>
      <c r="T10" s="77"/>
      <c r="U10" s="77"/>
    </row>
    <row r="11" spans="1:21" ht="15.75">
      <c r="A11" s="81" t="s">
        <v>13</v>
      </c>
      <c r="B11" s="82" t="s">
        <v>6</v>
      </c>
      <c r="C11" s="77"/>
      <c r="D11" s="77"/>
      <c r="E11" s="77"/>
      <c r="F11" s="77"/>
      <c r="G11" s="77"/>
      <c r="H11" s="77"/>
      <c r="I11" s="77"/>
      <c r="J11" s="77"/>
      <c r="K11" s="77"/>
      <c r="L11" s="77"/>
      <c r="M11" s="77"/>
      <c r="N11" s="77"/>
      <c r="O11" s="77"/>
      <c r="P11" s="77"/>
      <c r="Q11" s="77"/>
      <c r="R11" s="77"/>
      <c r="S11" s="77"/>
      <c r="T11" s="77"/>
      <c r="U11" s="77"/>
    </row>
    <row r="12" spans="1:21" ht="15.75">
      <c r="A12" s="81" t="s">
        <v>14</v>
      </c>
      <c r="B12" s="82" t="s">
        <v>6</v>
      </c>
      <c r="C12" s="77"/>
      <c r="D12" s="77"/>
      <c r="E12" s="77"/>
      <c r="F12" s="77"/>
      <c r="G12" s="77"/>
      <c r="H12" s="77"/>
      <c r="I12" s="77"/>
      <c r="J12" s="77"/>
      <c r="K12" s="77"/>
      <c r="L12" s="77"/>
      <c r="M12" s="77"/>
      <c r="N12" s="77"/>
      <c r="O12" s="77"/>
      <c r="P12" s="78"/>
      <c r="Q12" s="78"/>
      <c r="R12" s="78"/>
      <c r="S12" s="78"/>
      <c r="T12" s="77"/>
      <c r="U12" s="77"/>
    </row>
    <row r="13" spans="1:21" ht="15.75">
      <c r="A13" s="81" t="s">
        <v>9</v>
      </c>
      <c r="B13" s="82" t="s">
        <v>11</v>
      </c>
      <c r="C13" s="77"/>
      <c r="D13" s="77"/>
      <c r="E13" s="77"/>
      <c r="F13" s="77"/>
      <c r="G13" s="77"/>
      <c r="H13" s="77"/>
      <c r="I13" s="77"/>
      <c r="J13" s="77"/>
      <c r="K13" s="77"/>
      <c r="L13" s="77"/>
      <c r="M13" s="77"/>
      <c r="N13" s="77"/>
      <c r="O13" s="77"/>
      <c r="P13" s="78"/>
      <c r="Q13" s="78"/>
      <c r="R13" s="78"/>
      <c r="S13" s="78"/>
      <c r="T13" s="77"/>
      <c r="U13" s="77"/>
    </row>
    <row r="14" spans="1:21" ht="15.75">
      <c r="A14" s="79" t="s">
        <v>1</v>
      </c>
      <c r="B14" s="80" t="s">
        <v>8</v>
      </c>
      <c r="C14" s="77"/>
      <c r="D14" s="77"/>
      <c r="E14" s="77"/>
      <c r="F14" s="77"/>
      <c r="G14" s="77"/>
      <c r="H14" s="77"/>
      <c r="I14" s="77"/>
      <c r="J14" s="77"/>
      <c r="K14" s="77"/>
      <c r="L14" s="77"/>
      <c r="M14" s="77"/>
      <c r="N14" s="77"/>
      <c r="O14" s="77"/>
      <c r="P14" s="78"/>
      <c r="Q14" s="78"/>
      <c r="R14" s="78"/>
      <c r="S14" s="78"/>
      <c r="T14" s="77"/>
      <c r="U14" s="77"/>
    </row>
    <row r="15" spans="1:21" ht="15.75">
      <c r="A15" s="79" t="s">
        <v>13</v>
      </c>
      <c r="B15" s="80" t="s">
        <v>5</v>
      </c>
      <c r="C15" s="77"/>
      <c r="D15" s="77"/>
      <c r="E15" s="77"/>
      <c r="F15" s="77"/>
      <c r="G15" s="77"/>
      <c r="H15" s="77"/>
      <c r="I15" s="77"/>
      <c r="J15" s="77"/>
      <c r="K15" s="77"/>
      <c r="L15" s="77"/>
      <c r="M15" s="77"/>
      <c r="N15" s="77"/>
      <c r="O15" s="77"/>
      <c r="P15" s="78"/>
      <c r="Q15" s="78"/>
      <c r="R15" s="78"/>
      <c r="S15" s="78"/>
      <c r="T15" s="77"/>
      <c r="U15" s="77"/>
    </row>
    <row r="16" spans="1:21" ht="15.75">
      <c r="A16" s="81" t="s">
        <v>15</v>
      </c>
      <c r="B16" s="82" t="s">
        <v>6</v>
      </c>
      <c r="C16" s="77"/>
      <c r="D16" s="77"/>
      <c r="E16" s="77"/>
      <c r="F16" s="77"/>
      <c r="G16" s="77"/>
      <c r="H16" s="77"/>
      <c r="I16" s="77"/>
      <c r="J16" s="77"/>
      <c r="K16" s="77"/>
      <c r="L16" s="77"/>
      <c r="M16" s="77"/>
      <c r="N16" s="77"/>
      <c r="O16" s="77"/>
      <c r="P16" s="78"/>
      <c r="Q16" s="78"/>
      <c r="R16" s="78"/>
      <c r="S16" s="78"/>
      <c r="T16" s="77"/>
      <c r="U16" s="77"/>
    </row>
    <row r="17" spans="1:21" ht="15.75">
      <c r="A17" s="81" t="s">
        <v>16</v>
      </c>
      <c r="B17" s="82" t="s">
        <v>7</v>
      </c>
      <c r="C17" s="77"/>
      <c r="D17" s="77"/>
      <c r="E17" s="77"/>
      <c r="F17" s="77"/>
      <c r="G17" s="77"/>
      <c r="H17" s="77"/>
      <c r="I17" s="77"/>
      <c r="J17" s="77"/>
      <c r="K17" s="77"/>
      <c r="L17" s="77"/>
      <c r="M17" s="77"/>
      <c r="N17" s="77"/>
      <c r="O17" s="77"/>
      <c r="P17" s="78"/>
      <c r="Q17" s="78"/>
      <c r="R17" s="78"/>
      <c r="S17" s="78"/>
      <c r="T17" s="77"/>
      <c r="U17" s="77"/>
    </row>
    <row r="18" spans="1:21" ht="15.75">
      <c r="A18" s="81" t="s">
        <v>9</v>
      </c>
      <c r="B18" s="82" t="s">
        <v>11</v>
      </c>
      <c r="C18" s="77"/>
      <c r="D18" s="77"/>
      <c r="E18" s="77"/>
      <c r="F18" s="77"/>
      <c r="G18" s="77"/>
      <c r="H18" s="77"/>
      <c r="I18" s="77"/>
      <c r="J18" s="77"/>
      <c r="K18" s="77"/>
      <c r="L18" s="77"/>
      <c r="M18" s="77"/>
      <c r="N18" s="77"/>
      <c r="O18" s="77"/>
      <c r="P18" s="78"/>
      <c r="Q18" s="78"/>
      <c r="R18" s="78"/>
      <c r="S18" s="78"/>
      <c r="T18" s="77"/>
      <c r="U18" s="77"/>
    </row>
    <row r="19" spans="1:21" ht="15.75">
      <c r="A19" s="79" t="s">
        <v>14</v>
      </c>
      <c r="B19" s="80" t="s">
        <v>59</v>
      </c>
      <c r="C19" s="77"/>
      <c r="D19" s="77"/>
      <c r="E19" s="77"/>
      <c r="F19" s="77"/>
      <c r="G19" s="77"/>
      <c r="H19" s="77"/>
      <c r="I19" s="77"/>
      <c r="J19" s="77"/>
      <c r="K19" s="77"/>
      <c r="L19" s="77"/>
      <c r="M19" s="77"/>
      <c r="N19" s="77"/>
      <c r="O19" s="77"/>
      <c r="P19" s="78"/>
      <c r="Q19" s="78"/>
      <c r="R19" s="78"/>
      <c r="S19" s="78"/>
      <c r="T19" s="77"/>
      <c r="U19" s="77"/>
    </row>
    <row r="20" spans="1:21" ht="15.75">
      <c r="A20" s="81" t="s">
        <v>17</v>
      </c>
      <c r="B20" s="82" t="s">
        <v>6</v>
      </c>
      <c r="C20" s="77"/>
      <c r="D20" s="77"/>
      <c r="E20" s="77"/>
      <c r="F20" s="77"/>
      <c r="G20" s="77"/>
      <c r="H20" s="77"/>
      <c r="I20" s="77"/>
      <c r="J20" s="77"/>
      <c r="K20" s="77"/>
      <c r="L20" s="77"/>
      <c r="M20" s="77"/>
      <c r="N20" s="77"/>
      <c r="O20" s="77"/>
      <c r="P20" s="78"/>
      <c r="Q20" s="78"/>
      <c r="R20" s="78"/>
      <c r="S20" s="78"/>
      <c r="T20" s="77"/>
      <c r="U20" s="77"/>
    </row>
    <row r="21" spans="1:21" ht="15.75">
      <c r="A21" s="81" t="s">
        <v>18</v>
      </c>
      <c r="B21" s="82" t="s">
        <v>7</v>
      </c>
      <c r="C21" s="77"/>
      <c r="D21" s="77"/>
      <c r="E21" s="77"/>
      <c r="F21" s="77"/>
      <c r="G21" s="77"/>
      <c r="H21" s="77"/>
      <c r="I21" s="77"/>
      <c r="J21" s="77"/>
      <c r="K21" s="77"/>
      <c r="L21" s="77"/>
      <c r="M21" s="77"/>
      <c r="N21" s="77"/>
      <c r="O21" s="77"/>
      <c r="P21" s="78"/>
      <c r="Q21" s="78"/>
      <c r="R21" s="78"/>
      <c r="S21" s="78"/>
      <c r="T21" s="77"/>
      <c r="U21" s="77"/>
    </row>
    <row r="22" spans="1:22" s="83" customFormat="1" ht="15.75">
      <c r="A22" s="81" t="s">
        <v>9</v>
      </c>
      <c r="B22" s="82" t="s">
        <v>11</v>
      </c>
      <c r="C22" s="77"/>
      <c r="D22" s="77"/>
      <c r="E22" s="77"/>
      <c r="F22" s="77"/>
      <c r="G22" s="77"/>
      <c r="H22" s="77"/>
      <c r="I22" s="77"/>
      <c r="J22" s="77"/>
      <c r="K22" s="77"/>
      <c r="L22" s="77"/>
      <c r="M22" s="77"/>
      <c r="N22" s="77"/>
      <c r="O22" s="77"/>
      <c r="P22" s="78"/>
      <c r="Q22" s="78"/>
      <c r="R22" s="78"/>
      <c r="S22" s="78"/>
      <c r="T22" s="77"/>
      <c r="U22" s="77"/>
      <c r="V22" s="64"/>
    </row>
    <row r="23" spans="1:22" ht="51.75" customHeight="1">
      <c r="A23" s="614" t="s">
        <v>119</v>
      </c>
      <c r="B23" s="614"/>
      <c r="C23" s="614"/>
      <c r="D23" s="614"/>
      <c r="E23" s="614"/>
      <c r="F23" s="614"/>
      <c r="G23" s="614"/>
      <c r="H23" s="614"/>
      <c r="I23" s="83"/>
      <c r="J23" s="83"/>
      <c r="K23" s="83"/>
      <c r="L23" s="83"/>
      <c r="M23" s="83"/>
      <c r="N23" s="618" t="s">
        <v>127</v>
      </c>
      <c r="O23" s="618"/>
      <c r="P23" s="618"/>
      <c r="Q23" s="618"/>
      <c r="R23" s="618"/>
      <c r="S23" s="618"/>
      <c r="T23" s="618"/>
      <c r="U23" s="618"/>
      <c r="V23" s="83"/>
    </row>
  </sheetData>
  <sheetProtection/>
  <mergeCells count="31">
    <mergeCell ref="G3:G7"/>
    <mergeCell ref="C3:C7"/>
    <mergeCell ref="H3:H7"/>
    <mergeCell ref="T3:T7"/>
    <mergeCell ref="I3:S3"/>
    <mergeCell ref="E3:F3"/>
    <mergeCell ref="N6:N7"/>
    <mergeCell ref="I4:I7"/>
    <mergeCell ref="K6:K7"/>
    <mergeCell ref="D3:D7"/>
    <mergeCell ref="R4:R7"/>
    <mergeCell ref="S4:S7"/>
    <mergeCell ref="L6:M6"/>
    <mergeCell ref="E4:E7"/>
    <mergeCell ref="O6:O7"/>
    <mergeCell ref="A8:B8"/>
    <mergeCell ref="K5:P5"/>
    <mergeCell ref="A3:B7"/>
    <mergeCell ref="A1:E1"/>
    <mergeCell ref="A23:H23"/>
    <mergeCell ref="A9:B9"/>
    <mergeCell ref="F4:F7"/>
    <mergeCell ref="N23:U23"/>
    <mergeCell ref="J5:J7"/>
    <mergeCell ref="U3:U7"/>
    <mergeCell ref="Q1:U1"/>
    <mergeCell ref="R2:U2"/>
    <mergeCell ref="F1:P1"/>
    <mergeCell ref="J4:P4"/>
    <mergeCell ref="P6:P7"/>
    <mergeCell ref="Q4:Q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W66"/>
  <sheetViews>
    <sheetView zoomScaleSheetLayoutView="100" zoomScalePageLayoutView="0" workbookViewId="0" topLeftCell="E46">
      <selection activeCell="T18" sqref="T18"/>
    </sheetView>
  </sheetViews>
  <sheetFormatPr defaultColWidth="9.00390625" defaultRowHeight="15.75"/>
  <cols>
    <col min="1" max="1" width="3.50390625" style="4" customWidth="1"/>
    <col min="2" max="2" width="23.75390625" style="4" customWidth="1"/>
    <col min="3" max="3" width="9.75390625" style="4" customWidth="1"/>
    <col min="4" max="4" width="9.875" style="4" customWidth="1"/>
    <col min="5" max="5" width="9.375" style="4" customWidth="1"/>
    <col min="6" max="6" width="7.875" style="4" customWidth="1"/>
    <col min="7" max="7" width="6.625" style="4" customWidth="1"/>
    <col min="8" max="8" width="9.625" style="4" customWidth="1"/>
    <col min="9" max="10" width="9.50390625" style="4" customWidth="1"/>
    <col min="11" max="11" width="9.75390625" style="4" customWidth="1"/>
    <col min="12" max="12" width="8.50390625" style="4" customWidth="1"/>
    <col min="13" max="13" width="8.125" style="8" customWidth="1"/>
    <col min="14" max="14" width="9.00390625" style="8" customWidth="1"/>
    <col min="15" max="15" width="7.25390625" style="8" customWidth="1"/>
    <col min="16" max="16" width="7.125" style="8" customWidth="1"/>
    <col min="17" max="17" width="8.625" style="8" customWidth="1"/>
    <col min="18" max="18" width="8.50390625" style="8" customWidth="1"/>
    <col min="19" max="19" width="7.25390625" style="8" customWidth="1"/>
    <col min="20" max="20" width="9.00390625" style="8" customWidth="1"/>
    <col min="21" max="21" width="6.625" style="8" customWidth="1"/>
    <col min="22" max="16384" width="9.00390625" style="4" customWidth="1"/>
  </cols>
  <sheetData>
    <row r="1" spans="1:21" ht="69" customHeight="1">
      <c r="A1" s="510" t="s">
        <v>329</v>
      </c>
      <c r="B1" s="510"/>
      <c r="C1" s="510"/>
      <c r="D1" s="510"/>
      <c r="E1" s="487" t="s">
        <v>449</v>
      </c>
      <c r="F1" s="487"/>
      <c r="G1" s="487"/>
      <c r="H1" s="487"/>
      <c r="I1" s="487"/>
      <c r="J1" s="487"/>
      <c r="K1" s="487"/>
      <c r="L1" s="487"/>
      <c r="M1" s="487"/>
      <c r="N1" s="487"/>
      <c r="O1" s="487"/>
      <c r="P1" s="508" t="str">
        <f>TT!C2</f>
        <v>Đơn vị  báo cáo: 
Cục Thi hành án dân sự tỉnh Tuyên Quang
Đơn vị nhận báo cáo: Tổng cục Thi hành án dân sự</v>
      </c>
      <c r="Q1" s="508"/>
      <c r="R1" s="508"/>
      <c r="S1" s="508"/>
      <c r="T1" s="508"/>
      <c r="U1" s="508"/>
    </row>
    <row r="2" spans="1:22" ht="17.25" customHeight="1">
      <c r="A2" s="25"/>
      <c r="B2" s="27"/>
      <c r="C2" s="27"/>
      <c r="D2" s="6"/>
      <c r="E2" s="6"/>
      <c r="F2" s="6"/>
      <c r="G2" s="6"/>
      <c r="H2" s="37"/>
      <c r="I2" s="38">
        <f>COUNTBLANK(D10:U23)</f>
        <v>116</v>
      </c>
      <c r="J2" s="39">
        <f>COUNTA(D10:U23)</f>
        <v>139</v>
      </c>
      <c r="K2" s="39">
        <f>I2+J2</f>
        <v>255</v>
      </c>
      <c r="L2" s="39"/>
      <c r="M2" s="40"/>
      <c r="N2" s="26"/>
      <c r="O2" s="26"/>
      <c r="P2" s="511" t="s">
        <v>161</v>
      </c>
      <c r="Q2" s="511"/>
      <c r="R2" s="511"/>
      <c r="S2" s="511"/>
      <c r="T2" s="511"/>
      <c r="U2" s="511"/>
      <c r="V2" s="36"/>
    </row>
    <row r="3" spans="1:21" s="11" customFormat="1" ht="15.75" customHeight="1">
      <c r="A3" s="598" t="s">
        <v>136</v>
      </c>
      <c r="B3" s="598" t="s">
        <v>157</v>
      </c>
      <c r="C3" s="502" t="s">
        <v>134</v>
      </c>
      <c r="D3" s="502" t="s">
        <v>4</v>
      </c>
      <c r="E3" s="502"/>
      <c r="F3" s="593" t="s">
        <v>36</v>
      </c>
      <c r="G3" s="594" t="s">
        <v>158</v>
      </c>
      <c r="H3" s="593" t="s">
        <v>37</v>
      </c>
      <c r="I3" s="517" t="s">
        <v>4</v>
      </c>
      <c r="J3" s="518"/>
      <c r="K3" s="518"/>
      <c r="L3" s="518"/>
      <c r="M3" s="518"/>
      <c r="N3" s="518"/>
      <c r="O3" s="518"/>
      <c r="P3" s="518"/>
      <c r="Q3" s="518"/>
      <c r="R3" s="518"/>
      <c r="S3" s="518"/>
      <c r="T3" s="595" t="s">
        <v>103</v>
      </c>
      <c r="U3" s="515" t="s">
        <v>160</v>
      </c>
    </row>
    <row r="4" spans="1:21" s="12" customFormat="1" ht="15.75" customHeight="1">
      <c r="A4" s="599"/>
      <c r="B4" s="599"/>
      <c r="C4" s="502"/>
      <c r="D4" s="502" t="s">
        <v>137</v>
      </c>
      <c r="E4" s="502" t="s">
        <v>62</v>
      </c>
      <c r="F4" s="593"/>
      <c r="G4" s="594"/>
      <c r="H4" s="593"/>
      <c r="I4" s="593" t="s">
        <v>61</v>
      </c>
      <c r="J4" s="502" t="s">
        <v>4</v>
      </c>
      <c r="K4" s="502"/>
      <c r="L4" s="502"/>
      <c r="M4" s="502"/>
      <c r="N4" s="502"/>
      <c r="O4" s="502"/>
      <c r="P4" s="502"/>
      <c r="Q4" s="594" t="s">
        <v>139</v>
      </c>
      <c r="R4" s="593" t="s">
        <v>148</v>
      </c>
      <c r="S4" s="603" t="s">
        <v>81</v>
      </c>
      <c r="T4" s="596"/>
      <c r="U4" s="516"/>
    </row>
    <row r="5" spans="1:21" s="11" customFormat="1" ht="15.75" customHeight="1">
      <c r="A5" s="599"/>
      <c r="B5" s="599"/>
      <c r="C5" s="502"/>
      <c r="D5" s="502"/>
      <c r="E5" s="502"/>
      <c r="F5" s="593"/>
      <c r="G5" s="594"/>
      <c r="H5" s="593"/>
      <c r="I5" s="593"/>
      <c r="J5" s="593" t="s">
        <v>96</v>
      </c>
      <c r="K5" s="502" t="s">
        <v>4</v>
      </c>
      <c r="L5" s="502"/>
      <c r="M5" s="502"/>
      <c r="N5" s="593" t="s">
        <v>42</v>
      </c>
      <c r="O5" s="593" t="s">
        <v>147</v>
      </c>
      <c r="P5" s="593" t="s">
        <v>46</v>
      </c>
      <c r="Q5" s="594"/>
      <c r="R5" s="593"/>
      <c r="S5" s="603"/>
      <c r="T5" s="596"/>
      <c r="U5" s="516"/>
    </row>
    <row r="6" spans="1:21" s="11" customFormat="1" ht="15.75" customHeight="1">
      <c r="A6" s="599"/>
      <c r="B6" s="599"/>
      <c r="C6" s="502"/>
      <c r="D6" s="502"/>
      <c r="E6" s="502"/>
      <c r="F6" s="593"/>
      <c r="G6" s="594"/>
      <c r="H6" s="593"/>
      <c r="I6" s="593"/>
      <c r="J6" s="593"/>
      <c r="K6" s="502"/>
      <c r="L6" s="502"/>
      <c r="M6" s="502"/>
      <c r="N6" s="593"/>
      <c r="O6" s="593"/>
      <c r="P6" s="593"/>
      <c r="Q6" s="594"/>
      <c r="R6" s="593"/>
      <c r="S6" s="603"/>
      <c r="T6" s="596"/>
      <c r="U6" s="516"/>
    </row>
    <row r="7" spans="1:23" s="11" customFormat="1" ht="69" customHeight="1">
      <c r="A7" s="600"/>
      <c r="B7" s="600"/>
      <c r="C7" s="502"/>
      <c r="D7" s="502"/>
      <c r="E7" s="502"/>
      <c r="F7" s="593"/>
      <c r="G7" s="594"/>
      <c r="H7" s="593"/>
      <c r="I7" s="593"/>
      <c r="J7" s="593"/>
      <c r="K7" s="60" t="s">
        <v>39</v>
      </c>
      <c r="L7" s="60" t="s">
        <v>138</v>
      </c>
      <c r="M7" s="60" t="s">
        <v>156</v>
      </c>
      <c r="N7" s="593"/>
      <c r="O7" s="593"/>
      <c r="P7" s="593"/>
      <c r="Q7" s="594"/>
      <c r="R7" s="593"/>
      <c r="S7" s="603"/>
      <c r="T7" s="597"/>
      <c r="U7" s="516"/>
      <c r="W7" s="45"/>
    </row>
    <row r="8" spans="1:21" ht="14.25" customHeight="1">
      <c r="A8" s="601" t="s">
        <v>3</v>
      </c>
      <c r="B8" s="602"/>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1" s="456" customFormat="1" ht="14.25" customHeight="1">
      <c r="A9" s="635" t="s">
        <v>12</v>
      </c>
      <c r="B9" s="636"/>
      <c r="C9" s="743">
        <f>C10+C23</f>
        <v>192912294</v>
      </c>
      <c r="D9" s="743">
        <f aca="true" t="shared" si="0" ref="D9:T9">D10+D23</f>
        <v>127131493</v>
      </c>
      <c r="E9" s="743">
        <f t="shared" si="0"/>
        <v>65780801</v>
      </c>
      <c r="F9" s="743">
        <f t="shared" si="0"/>
        <v>2455644</v>
      </c>
      <c r="G9" s="743">
        <f t="shared" si="0"/>
        <v>1688</v>
      </c>
      <c r="H9" s="743">
        <f>I9+Q9+R9+S9</f>
        <v>190454962</v>
      </c>
      <c r="I9" s="743">
        <f t="shared" si="0"/>
        <v>98187763</v>
      </c>
      <c r="J9" s="743">
        <f t="shared" si="0"/>
        <v>35029639</v>
      </c>
      <c r="K9" s="743">
        <f t="shared" si="0"/>
        <v>28105325</v>
      </c>
      <c r="L9" s="743">
        <f t="shared" si="0"/>
        <v>6747228</v>
      </c>
      <c r="M9" s="743">
        <f t="shared" si="0"/>
        <v>177086</v>
      </c>
      <c r="N9" s="743">
        <f t="shared" si="0"/>
        <v>63019124</v>
      </c>
      <c r="O9" s="743">
        <f t="shared" si="0"/>
        <v>139000</v>
      </c>
      <c r="P9" s="743">
        <f t="shared" si="0"/>
        <v>0</v>
      </c>
      <c r="Q9" s="743">
        <f t="shared" si="0"/>
        <v>78679726</v>
      </c>
      <c r="R9" s="743">
        <f t="shared" si="0"/>
        <v>12766511</v>
      </c>
      <c r="S9" s="743">
        <f t="shared" si="0"/>
        <v>820962</v>
      </c>
      <c r="T9" s="743">
        <f t="shared" si="0"/>
        <v>155425323</v>
      </c>
      <c r="U9" s="744">
        <f aca="true" t="shared" si="1" ref="U9:U39">IF(I9&lt;&gt;0,J9/I9,"")</f>
        <v>0.3567617585910375</v>
      </c>
    </row>
    <row r="10" spans="1:22" s="185" customFormat="1" ht="15" customHeight="1">
      <c r="A10" s="274" t="s">
        <v>0</v>
      </c>
      <c r="B10" s="275" t="s">
        <v>28</v>
      </c>
      <c r="C10" s="743">
        <f>SUM(C11:C22)</f>
        <v>41809269</v>
      </c>
      <c r="D10" s="743">
        <f>SUM(D11:D22)</f>
        <v>36736133</v>
      </c>
      <c r="E10" s="743">
        <f>SUM(E11:E22)</f>
        <v>5073136</v>
      </c>
      <c r="F10" s="743">
        <f>SUM(F11:F22)</f>
        <v>596857</v>
      </c>
      <c r="G10" s="743">
        <f>SUM(G11:G22)</f>
        <v>0</v>
      </c>
      <c r="H10" s="743">
        <f aca="true" t="shared" si="2" ref="H10:H39">I10+Q10+R10+S10</f>
        <v>41212412</v>
      </c>
      <c r="I10" s="743">
        <f aca="true" t="shared" si="3" ref="I10:I39">SUM(J10,N10:P10)</f>
        <v>6040112</v>
      </c>
      <c r="J10" s="743">
        <f aca="true" t="shared" si="4" ref="J10:J39">SUM(K10:M10)</f>
        <v>2463142</v>
      </c>
      <c r="K10" s="743">
        <f aca="true" t="shared" si="5" ref="K10:S10">SUM(K11:K22)</f>
        <v>2214063</v>
      </c>
      <c r="L10" s="743">
        <f t="shared" si="5"/>
        <v>147291</v>
      </c>
      <c r="M10" s="743">
        <f t="shared" si="5"/>
        <v>101788</v>
      </c>
      <c r="N10" s="743">
        <f t="shared" si="5"/>
        <v>3576970</v>
      </c>
      <c r="O10" s="743">
        <f t="shared" si="5"/>
        <v>0</v>
      </c>
      <c r="P10" s="743">
        <f t="shared" si="5"/>
        <v>0</v>
      </c>
      <c r="Q10" s="743">
        <f t="shared" si="5"/>
        <v>31065114</v>
      </c>
      <c r="R10" s="743">
        <f t="shared" si="5"/>
        <v>4107186</v>
      </c>
      <c r="S10" s="743">
        <f t="shared" si="5"/>
        <v>0</v>
      </c>
      <c r="T10" s="743">
        <f aca="true" t="shared" si="6" ref="T10:T39">SUM(N10:S10)</f>
        <v>38749270</v>
      </c>
      <c r="U10" s="744">
        <f t="shared" si="1"/>
        <v>0.4077974050812303</v>
      </c>
      <c r="V10" s="185" t="s">
        <v>2</v>
      </c>
    </row>
    <row r="11" spans="1:23" s="185" customFormat="1" ht="15" customHeight="1">
      <c r="A11" s="268" t="s">
        <v>13</v>
      </c>
      <c r="B11" s="269" t="s">
        <v>337</v>
      </c>
      <c r="C11" s="747">
        <f>D11+E11</f>
        <v>131425</v>
      </c>
      <c r="D11" s="748"/>
      <c r="E11" s="749">
        <v>131425</v>
      </c>
      <c r="F11" s="747"/>
      <c r="G11" s="747"/>
      <c r="H11" s="745">
        <f t="shared" si="2"/>
        <v>131425</v>
      </c>
      <c r="I11" s="745">
        <f t="shared" si="3"/>
        <v>131425</v>
      </c>
      <c r="J11" s="745">
        <f t="shared" si="4"/>
        <v>131425</v>
      </c>
      <c r="K11" s="748">
        <v>120425</v>
      </c>
      <c r="L11" s="747">
        <v>11000</v>
      </c>
      <c r="M11" s="747"/>
      <c r="N11" s="747"/>
      <c r="O11" s="747"/>
      <c r="P11" s="747"/>
      <c r="Q11" s="747"/>
      <c r="R11" s="747"/>
      <c r="S11" s="747"/>
      <c r="T11" s="748">
        <f t="shared" si="6"/>
        <v>0</v>
      </c>
      <c r="U11" s="746">
        <f t="shared" si="1"/>
        <v>1</v>
      </c>
      <c r="V11" s="199" t="s">
        <v>2</v>
      </c>
      <c r="W11" s="185" t="s">
        <v>2</v>
      </c>
    </row>
    <row r="12" spans="1:21" s="185" customFormat="1" ht="0.75" customHeight="1" hidden="1">
      <c r="A12" s="268" t="s">
        <v>14</v>
      </c>
      <c r="B12" s="269"/>
      <c r="C12" s="747">
        <f aca="true" t="shared" si="7" ref="C12:C22">D12+E12</f>
        <v>0</v>
      </c>
      <c r="D12" s="748"/>
      <c r="E12" s="747"/>
      <c r="F12" s="747"/>
      <c r="G12" s="747"/>
      <c r="H12" s="745">
        <f t="shared" si="2"/>
        <v>0</v>
      </c>
      <c r="I12" s="745">
        <f t="shared" si="3"/>
        <v>0</v>
      </c>
      <c r="J12" s="745">
        <f t="shared" si="4"/>
        <v>0</v>
      </c>
      <c r="K12" s="748"/>
      <c r="L12" s="747"/>
      <c r="M12" s="747"/>
      <c r="N12" s="747"/>
      <c r="O12" s="747"/>
      <c r="P12" s="750"/>
      <c r="Q12" s="750"/>
      <c r="R12" s="750"/>
      <c r="S12" s="750"/>
      <c r="T12" s="748">
        <f t="shared" si="6"/>
        <v>0</v>
      </c>
      <c r="U12" s="746">
        <f t="shared" si="1"/>
      </c>
    </row>
    <row r="13" spans="1:21" s="185" customFormat="1" ht="0.75" customHeight="1" hidden="1">
      <c r="A13" s="268" t="s">
        <v>14</v>
      </c>
      <c r="B13" s="269"/>
      <c r="C13" s="747">
        <f t="shared" si="7"/>
        <v>0</v>
      </c>
      <c r="D13" s="748"/>
      <c r="E13" s="747"/>
      <c r="F13" s="747"/>
      <c r="G13" s="747"/>
      <c r="H13" s="745">
        <f t="shared" si="2"/>
        <v>0</v>
      </c>
      <c r="I13" s="745">
        <f t="shared" si="3"/>
        <v>0</v>
      </c>
      <c r="J13" s="745">
        <f t="shared" si="4"/>
        <v>0</v>
      </c>
      <c r="K13" s="748"/>
      <c r="L13" s="747"/>
      <c r="M13" s="747"/>
      <c r="N13" s="747"/>
      <c r="O13" s="747"/>
      <c r="P13" s="750"/>
      <c r="Q13" s="750"/>
      <c r="R13" s="750"/>
      <c r="S13" s="750"/>
      <c r="T13" s="748">
        <f t="shared" si="6"/>
        <v>0</v>
      </c>
      <c r="U13" s="746">
        <f t="shared" si="1"/>
      </c>
    </row>
    <row r="14" spans="1:21" s="185" customFormat="1" ht="13.5" customHeight="1" hidden="1">
      <c r="A14" s="268" t="s">
        <v>22</v>
      </c>
      <c r="B14" s="269"/>
      <c r="C14" s="747">
        <f t="shared" si="7"/>
        <v>0</v>
      </c>
      <c r="D14" s="748"/>
      <c r="E14" s="747"/>
      <c r="F14" s="747"/>
      <c r="G14" s="747"/>
      <c r="H14" s="745">
        <f t="shared" si="2"/>
        <v>0</v>
      </c>
      <c r="I14" s="745">
        <f t="shared" si="3"/>
        <v>0</v>
      </c>
      <c r="J14" s="745">
        <f t="shared" si="4"/>
        <v>0</v>
      </c>
      <c r="K14" s="748"/>
      <c r="L14" s="747"/>
      <c r="M14" s="747"/>
      <c r="N14" s="747"/>
      <c r="O14" s="747"/>
      <c r="P14" s="750"/>
      <c r="Q14" s="750"/>
      <c r="R14" s="750"/>
      <c r="S14" s="750"/>
      <c r="T14" s="748">
        <f t="shared" si="6"/>
        <v>0</v>
      </c>
      <c r="U14" s="746">
        <f t="shared" si="1"/>
      </c>
    </row>
    <row r="15" spans="1:21" s="185" customFormat="1" ht="13.5" customHeight="1">
      <c r="A15" s="268" t="s">
        <v>14</v>
      </c>
      <c r="B15" s="269" t="s">
        <v>342</v>
      </c>
      <c r="C15" s="747">
        <f t="shared" si="7"/>
        <v>456482</v>
      </c>
      <c r="D15" s="748">
        <v>2910</v>
      </c>
      <c r="E15" s="747">
        <v>453572</v>
      </c>
      <c r="F15" s="747"/>
      <c r="G15" s="747"/>
      <c r="H15" s="745">
        <f t="shared" si="2"/>
        <v>456482</v>
      </c>
      <c r="I15" s="745">
        <f t="shared" si="3"/>
        <v>436482</v>
      </c>
      <c r="J15" s="745">
        <f t="shared" si="4"/>
        <v>410480</v>
      </c>
      <c r="K15" s="748">
        <v>406212</v>
      </c>
      <c r="L15" s="747">
        <v>4268</v>
      </c>
      <c r="M15" s="747"/>
      <c r="N15" s="747">
        <v>26002</v>
      </c>
      <c r="O15" s="747"/>
      <c r="P15" s="750"/>
      <c r="Q15" s="750">
        <v>20000</v>
      </c>
      <c r="R15" s="750"/>
      <c r="S15" s="750"/>
      <c r="T15" s="748">
        <f t="shared" si="6"/>
        <v>46002</v>
      </c>
      <c r="U15" s="746">
        <f t="shared" si="1"/>
        <v>0.940428242172644</v>
      </c>
    </row>
    <row r="16" spans="1:21" s="185" customFormat="1" ht="13.5" customHeight="1">
      <c r="A16" s="268" t="s">
        <v>19</v>
      </c>
      <c r="B16" s="269" t="s">
        <v>339</v>
      </c>
      <c r="C16" s="747">
        <f t="shared" si="7"/>
        <v>19097</v>
      </c>
      <c r="D16" s="748"/>
      <c r="E16" s="747">
        <v>19097</v>
      </c>
      <c r="F16" s="747"/>
      <c r="G16" s="747"/>
      <c r="H16" s="745">
        <f t="shared" si="2"/>
        <v>19097</v>
      </c>
      <c r="I16" s="745">
        <f t="shared" si="3"/>
        <v>19097</v>
      </c>
      <c r="J16" s="745">
        <f t="shared" si="4"/>
        <v>19097</v>
      </c>
      <c r="K16" s="748">
        <v>19097</v>
      </c>
      <c r="L16" s="747"/>
      <c r="M16" s="747"/>
      <c r="N16" s="747"/>
      <c r="O16" s="747"/>
      <c r="P16" s="750"/>
      <c r="Q16" s="750"/>
      <c r="R16" s="750"/>
      <c r="S16" s="750"/>
      <c r="T16" s="748">
        <f t="shared" si="6"/>
        <v>0</v>
      </c>
      <c r="U16" s="746">
        <f t="shared" si="1"/>
        <v>1</v>
      </c>
    </row>
    <row r="17" spans="1:21" s="185" customFormat="1" ht="13.5" customHeight="1">
      <c r="A17" s="268" t="s">
        <v>22</v>
      </c>
      <c r="B17" s="269" t="s">
        <v>341</v>
      </c>
      <c r="C17" s="747">
        <f t="shared" si="7"/>
        <v>496000</v>
      </c>
      <c r="D17" s="748"/>
      <c r="E17" s="747">
        <v>496000</v>
      </c>
      <c r="F17" s="747"/>
      <c r="G17" s="747"/>
      <c r="H17" s="745">
        <f t="shared" si="2"/>
        <v>496000</v>
      </c>
      <c r="I17" s="745">
        <f t="shared" si="3"/>
        <v>496000</v>
      </c>
      <c r="J17" s="745">
        <f t="shared" si="4"/>
        <v>200</v>
      </c>
      <c r="K17" s="748">
        <v>200</v>
      </c>
      <c r="L17" s="747"/>
      <c r="M17" s="747"/>
      <c r="N17" s="747">
        <v>495800</v>
      </c>
      <c r="O17" s="747"/>
      <c r="P17" s="750"/>
      <c r="Q17" s="750"/>
      <c r="R17" s="750"/>
      <c r="S17" s="750"/>
      <c r="T17" s="748">
        <f t="shared" si="6"/>
        <v>495800</v>
      </c>
      <c r="U17" s="746">
        <f t="shared" si="1"/>
        <v>0.0004032258064516129</v>
      </c>
    </row>
    <row r="18" spans="1:21" s="185" customFormat="1" ht="13.5" customHeight="1">
      <c r="A18" s="268" t="s">
        <v>23</v>
      </c>
      <c r="B18" s="269" t="s">
        <v>444</v>
      </c>
      <c r="C18" s="747">
        <f t="shared" si="7"/>
        <v>200</v>
      </c>
      <c r="D18" s="748"/>
      <c r="E18" s="747">
        <v>200</v>
      </c>
      <c r="F18" s="747"/>
      <c r="G18" s="747"/>
      <c r="H18" s="745">
        <f t="shared" si="2"/>
        <v>200</v>
      </c>
      <c r="I18" s="745">
        <f t="shared" si="3"/>
        <v>200</v>
      </c>
      <c r="J18" s="745">
        <f t="shared" si="4"/>
        <v>200</v>
      </c>
      <c r="K18" s="748">
        <v>200</v>
      </c>
      <c r="L18" s="747"/>
      <c r="M18" s="747"/>
      <c r="N18" s="747"/>
      <c r="O18" s="747"/>
      <c r="P18" s="750"/>
      <c r="Q18" s="750"/>
      <c r="R18" s="750"/>
      <c r="S18" s="750"/>
      <c r="T18" s="748">
        <f t="shared" si="6"/>
        <v>0</v>
      </c>
      <c r="U18" s="746">
        <f t="shared" si="1"/>
        <v>1</v>
      </c>
    </row>
    <row r="19" spans="1:21" s="185" customFormat="1" ht="13.5" customHeight="1">
      <c r="A19" s="268" t="s">
        <v>24</v>
      </c>
      <c r="B19" s="269" t="s">
        <v>338</v>
      </c>
      <c r="C19" s="747">
        <f t="shared" si="7"/>
        <v>2428116</v>
      </c>
      <c r="D19" s="748">
        <v>626020</v>
      </c>
      <c r="E19" s="747">
        <v>1802096</v>
      </c>
      <c r="F19" s="747">
        <v>596857</v>
      </c>
      <c r="G19" s="747"/>
      <c r="H19" s="745">
        <f t="shared" si="2"/>
        <v>1831259</v>
      </c>
      <c r="I19" s="745">
        <f t="shared" si="3"/>
        <v>1364968</v>
      </c>
      <c r="J19" s="745">
        <f t="shared" si="4"/>
        <v>1177545</v>
      </c>
      <c r="K19" s="748">
        <v>1177545</v>
      </c>
      <c r="L19" s="747"/>
      <c r="M19" s="747"/>
      <c r="N19" s="747">
        <v>187423</v>
      </c>
      <c r="O19" s="747"/>
      <c r="P19" s="750"/>
      <c r="Q19" s="750">
        <v>181065</v>
      </c>
      <c r="R19" s="750">
        <v>285226</v>
      </c>
      <c r="S19" s="750"/>
      <c r="T19" s="748">
        <f t="shared" si="6"/>
        <v>653714</v>
      </c>
      <c r="U19" s="746">
        <f t="shared" si="1"/>
        <v>0.8626905539177475</v>
      </c>
    </row>
    <row r="20" spans="1:21" s="185" customFormat="1" ht="13.5" customHeight="1">
      <c r="A20" s="268" t="s">
        <v>25</v>
      </c>
      <c r="B20" s="269" t="s">
        <v>396</v>
      </c>
      <c r="C20" s="747">
        <f t="shared" si="7"/>
        <v>22937175</v>
      </c>
      <c r="D20" s="748">
        <v>21561454</v>
      </c>
      <c r="E20" s="747">
        <v>1375721</v>
      </c>
      <c r="F20" s="747"/>
      <c r="G20" s="747"/>
      <c r="H20" s="745">
        <f>I20+Q20+R20+S20</f>
        <v>22937175</v>
      </c>
      <c r="I20" s="745">
        <f>SUM(J20,N20:P20)</f>
        <v>1990269</v>
      </c>
      <c r="J20" s="745">
        <f>SUM(K20:M20)</f>
        <v>377713</v>
      </c>
      <c r="K20" s="748">
        <v>202812</v>
      </c>
      <c r="L20" s="747">
        <v>123113</v>
      </c>
      <c r="M20" s="747">
        <v>51788</v>
      </c>
      <c r="N20" s="747">
        <v>1612556</v>
      </c>
      <c r="O20" s="747"/>
      <c r="P20" s="750"/>
      <c r="Q20" s="750">
        <v>18741892</v>
      </c>
      <c r="R20" s="750">
        <v>2205014</v>
      </c>
      <c r="S20" s="750"/>
      <c r="T20" s="748">
        <f>SUM(N20:S20)</f>
        <v>22559462</v>
      </c>
      <c r="U20" s="746">
        <f>IF(I20&lt;&gt;0,J20/I20,"")</f>
        <v>0.1897798739768343</v>
      </c>
    </row>
    <row r="21" spans="1:21" s="185" customFormat="1" ht="13.5" customHeight="1">
      <c r="A21" s="268" t="s">
        <v>26</v>
      </c>
      <c r="B21" s="269" t="s">
        <v>340</v>
      </c>
      <c r="C21" s="747">
        <f t="shared" si="7"/>
        <v>15325426</v>
      </c>
      <c r="D21" s="748">
        <v>14541002</v>
      </c>
      <c r="E21" s="747">
        <v>784424</v>
      </c>
      <c r="F21" s="747"/>
      <c r="G21" s="747"/>
      <c r="H21" s="745">
        <f t="shared" si="2"/>
        <v>15325426</v>
      </c>
      <c r="I21" s="745">
        <f t="shared" si="3"/>
        <v>1586323</v>
      </c>
      <c r="J21" s="745">
        <f t="shared" si="4"/>
        <v>331134</v>
      </c>
      <c r="K21" s="748">
        <v>276971</v>
      </c>
      <c r="L21" s="747">
        <v>4163</v>
      </c>
      <c r="M21" s="747">
        <v>50000</v>
      </c>
      <c r="N21" s="747">
        <v>1255189</v>
      </c>
      <c r="O21" s="747"/>
      <c r="P21" s="750"/>
      <c r="Q21" s="750">
        <v>12122157</v>
      </c>
      <c r="R21" s="750">
        <v>1616946</v>
      </c>
      <c r="S21" s="750"/>
      <c r="T21" s="748">
        <f t="shared" si="6"/>
        <v>14994292</v>
      </c>
      <c r="U21" s="746">
        <f t="shared" si="1"/>
        <v>0.20874311221611236</v>
      </c>
    </row>
    <row r="22" spans="1:21" s="185" customFormat="1" ht="13.5" customHeight="1">
      <c r="A22" s="268" t="s">
        <v>27</v>
      </c>
      <c r="B22" s="269" t="s">
        <v>343</v>
      </c>
      <c r="C22" s="747">
        <f t="shared" si="7"/>
        <v>15348</v>
      </c>
      <c r="D22" s="748">
        <v>4747</v>
      </c>
      <c r="E22" s="747">
        <v>10601</v>
      </c>
      <c r="F22" s="747"/>
      <c r="G22" s="747"/>
      <c r="H22" s="745">
        <f t="shared" si="2"/>
        <v>15348</v>
      </c>
      <c r="I22" s="745">
        <f t="shared" si="3"/>
        <v>15348</v>
      </c>
      <c r="J22" s="745">
        <f t="shared" si="4"/>
        <v>15348</v>
      </c>
      <c r="K22" s="748">
        <v>10601</v>
      </c>
      <c r="L22" s="747">
        <v>4747</v>
      </c>
      <c r="M22" s="747"/>
      <c r="N22" s="747"/>
      <c r="O22" s="747"/>
      <c r="P22" s="750"/>
      <c r="Q22" s="750"/>
      <c r="R22" s="750"/>
      <c r="S22" s="750"/>
      <c r="T22" s="748">
        <f t="shared" si="6"/>
        <v>0</v>
      </c>
      <c r="U22" s="746">
        <f t="shared" si="1"/>
        <v>1</v>
      </c>
    </row>
    <row r="23" spans="1:21" s="185" customFormat="1" ht="13.5" customHeight="1">
      <c r="A23" s="274" t="s">
        <v>1</v>
      </c>
      <c r="B23" s="275" t="s">
        <v>8</v>
      </c>
      <c r="C23" s="743">
        <f>C24+C33+C40+C46+C51+C55+C58</f>
        <v>151103025</v>
      </c>
      <c r="D23" s="743">
        <f>D24+D33+D40+D46+D51+D55+D58</f>
        <v>90395360</v>
      </c>
      <c r="E23" s="743">
        <f>E24+E33+E40+E46+E51+E55+E58</f>
        <v>60707665</v>
      </c>
      <c r="F23" s="743">
        <f>F24+F33+F40+F46+F51+F55+F58</f>
        <v>1858787</v>
      </c>
      <c r="G23" s="743">
        <f>G24+G33+G40+G46+G51+G55+G58</f>
        <v>1688</v>
      </c>
      <c r="H23" s="743">
        <f t="shared" si="2"/>
        <v>149242550</v>
      </c>
      <c r="I23" s="743">
        <f t="shared" si="3"/>
        <v>92147651</v>
      </c>
      <c r="J23" s="743">
        <f t="shared" si="4"/>
        <v>32566497</v>
      </c>
      <c r="K23" s="743">
        <f>K24+K33+K40+K46+K51+K55+K58</f>
        <v>25891262</v>
      </c>
      <c r="L23" s="743">
        <f>L24+L33+L40+L46+L51+L55+L58</f>
        <v>6599937</v>
      </c>
      <c r="M23" s="743">
        <f>M24+M33+M40+M46+M51+M55+M58</f>
        <v>75298</v>
      </c>
      <c r="N23" s="743">
        <f>N24+N33+N40+N46+N51+N55+N58</f>
        <v>59442154</v>
      </c>
      <c r="O23" s="743">
        <f>O24+O33+O40+O46+O51+O55+O58</f>
        <v>139000</v>
      </c>
      <c r="P23" s="743">
        <f>P24+P33+P40+P46+P51+P55+P58</f>
        <v>0</v>
      </c>
      <c r="Q23" s="743">
        <f>Q24+Q33+Q40+Q46+Q51+Q55+Q58</f>
        <v>47614612</v>
      </c>
      <c r="R23" s="743">
        <f>R24+R33+R40+R46+R51+R55+R58</f>
        <v>8659325</v>
      </c>
      <c r="S23" s="743">
        <f>S24+S33+S40+S46+S51+S55+S58</f>
        <v>820962</v>
      </c>
      <c r="T23" s="743">
        <f t="shared" si="6"/>
        <v>116676053</v>
      </c>
      <c r="U23" s="744">
        <f t="shared" si="1"/>
        <v>0.3534164641918002</v>
      </c>
    </row>
    <row r="24" spans="1:21" s="202" customFormat="1" ht="15.75" customHeight="1">
      <c r="A24" s="274" t="s">
        <v>13</v>
      </c>
      <c r="B24" s="275" t="s">
        <v>429</v>
      </c>
      <c r="C24" s="743">
        <f>SUM(C25:C32)</f>
        <v>61898039</v>
      </c>
      <c r="D24" s="743">
        <f>SUM(D25:D32)</f>
        <v>32680606</v>
      </c>
      <c r="E24" s="743">
        <f>SUM(E25:E32)</f>
        <v>29217433</v>
      </c>
      <c r="F24" s="743">
        <f>SUM(F25:F32)</f>
        <v>937722</v>
      </c>
      <c r="G24" s="743">
        <f>SUM(G25:G32)</f>
        <v>0</v>
      </c>
      <c r="H24" s="743">
        <f t="shared" si="2"/>
        <v>60960317</v>
      </c>
      <c r="I24" s="743">
        <f t="shared" si="3"/>
        <v>37516302</v>
      </c>
      <c r="J24" s="743">
        <f t="shared" si="4"/>
        <v>14951234</v>
      </c>
      <c r="K24" s="743">
        <f aca="true" t="shared" si="8" ref="K24:S24">SUM(K25:K32)</f>
        <v>11349539</v>
      </c>
      <c r="L24" s="743">
        <f t="shared" si="8"/>
        <v>3586687</v>
      </c>
      <c r="M24" s="743">
        <f t="shared" si="8"/>
        <v>15008</v>
      </c>
      <c r="N24" s="743">
        <f t="shared" si="8"/>
        <v>22472068</v>
      </c>
      <c r="O24" s="743">
        <f t="shared" si="8"/>
        <v>93000</v>
      </c>
      <c r="P24" s="743">
        <f t="shared" si="8"/>
        <v>0</v>
      </c>
      <c r="Q24" s="743">
        <f t="shared" si="8"/>
        <v>17866914</v>
      </c>
      <c r="R24" s="743">
        <f t="shared" si="8"/>
        <v>4756139</v>
      </c>
      <c r="S24" s="743">
        <f t="shared" si="8"/>
        <v>820962</v>
      </c>
      <c r="T24" s="743">
        <f t="shared" si="6"/>
        <v>46009083</v>
      </c>
      <c r="U24" s="744">
        <f t="shared" si="1"/>
        <v>0.39852632596890813</v>
      </c>
    </row>
    <row r="25" spans="1:21" s="185" customFormat="1" ht="15.75" customHeight="1">
      <c r="A25" s="276" t="s">
        <v>399</v>
      </c>
      <c r="B25" s="277" t="s">
        <v>374</v>
      </c>
      <c r="C25" s="745">
        <f>D25+E25</f>
        <v>2555216</v>
      </c>
      <c r="D25" s="747">
        <v>2126835</v>
      </c>
      <c r="E25" s="747">
        <v>428381</v>
      </c>
      <c r="F25" s="747"/>
      <c r="G25" s="747"/>
      <c r="H25" s="745">
        <f t="shared" si="2"/>
        <v>2555216</v>
      </c>
      <c r="I25" s="745">
        <f t="shared" si="3"/>
        <v>576381</v>
      </c>
      <c r="J25" s="745">
        <f t="shared" si="4"/>
        <v>443411</v>
      </c>
      <c r="K25" s="747">
        <v>356444</v>
      </c>
      <c r="L25" s="747">
        <v>86967</v>
      </c>
      <c r="M25" s="747"/>
      <c r="N25" s="747">
        <v>132970</v>
      </c>
      <c r="O25" s="747"/>
      <c r="P25" s="747"/>
      <c r="Q25" s="747">
        <v>1978835</v>
      </c>
      <c r="R25" s="747"/>
      <c r="S25" s="747"/>
      <c r="T25" s="745">
        <f t="shared" si="6"/>
        <v>2111805</v>
      </c>
      <c r="U25" s="746">
        <f t="shared" si="1"/>
        <v>0.769301902734476</v>
      </c>
    </row>
    <row r="26" spans="1:21" s="185" customFormat="1" ht="15.75" customHeight="1">
      <c r="A26" s="276" t="s">
        <v>400</v>
      </c>
      <c r="B26" s="277" t="s">
        <v>385</v>
      </c>
      <c r="C26" s="745">
        <f>D26+E26</f>
        <v>18170417</v>
      </c>
      <c r="D26" s="747">
        <v>13111184</v>
      </c>
      <c r="E26" s="747">
        <v>5059233</v>
      </c>
      <c r="F26" s="747">
        <v>56574</v>
      </c>
      <c r="G26" s="747"/>
      <c r="H26" s="745">
        <f t="shared" si="2"/>
        <v>18113843</v>
      </c>
      <c r="I26" s="745">
        <f t="shared" si="3"/>
        <v>11330897</v>
      </c>
      <c r="J26" s="745">
        <f t="shared" si="4"/>
        <v>5681384</v>
      </c>
      <c r="K26" s="747">
        <v>5563987</v>
      </c>
      <c r="L26" s="747">
        <v>117397</v>
      </c>
      <c r="M26" s="747"/>
      <c r="N26" s="747">
        <v>5649513</v>
      </c>
      <c r="O26" s="747"/>
      <c r="P26" s="747"/>
      <c r="Q26" s="747">
        <v>4495252</v>
      </c>
      <c r="R26" s="747">
        <v>1466732</v>
      </c>
      <c r="S26" s="747">
        <v>820962</v>
      </c>
      <c r="T26" s="745">
        <f t="shared" si="6"/>
        <v>12432459</v>
      </c>
      <c r="U26" s="746">
        <f t="shared" si="1"/>
        <v>0.5014063758588574</v>
      </c>
    </row>
    <row r="27" spans="1:21" s="185" customFormat="1" ht="17.25" customHeight="1">
      <c r="A27" s="276" t="s">
        <v>370</v>
      </c>
      <c r="B27" s="277" t="s">
        <v>375</v>
      </c>
      <c r="C27" s="745">
        <f>D27+E27</f>
        <v>7753763</v>
      </c>
      <c r="D27" s="747">
        <v>5298034</v>
      </c>
      <c r="E27" s="747">
        <v>2455729</v>
      </c>
      <c r="F27" s="747">
        <v>358677</v>
      </c>
      <c r="G27" s="747"/>
      <c r="H27" s="745">
        <f t="shared" si="2"/>
        <v>7395086</v>
      </c>
      <c r="I27" s="745">
        <f t="shared" si="3"/>
        <v>3448999</v>
      </c>
      <c r="J27" s="745">
        <f t="shared" si="4"/>
        <v>1533198</v>
      </c>
      <c r="K27" s="747">
        <v>1395461</v>
      </c>
      <c r="L27" s="747">
        <v>137737</v>
      </c>
      <c r="M27" s="747"/>
      <c r="N27" s="747">
        <v>1862801</v>
      </c>
      <c r="O27" s="747">
        <v>53000</v>
      </c>
      <c r="P27" s="747"/>
      <c r="Q27" s="747">
        <v>3946087</v>
      </c>
      <c r="R27" s="747"/>
      <c r="S27" s="747"/>
      <c r="T27" s="745">
        <f t="shared" si="6"/>
        <v>5861888</v>
      </c>
      <c r="U27" s="746">
        <f t="shared" si="1"/>
        <v>0.444534196733603</v>
      </c>
    </row>
    <row r="28" spans="1:21" s="185" customFormat="1" ht="15.75" customHeight="1" hidden="1">
      <c r="A28" s="276" t="s">
        <v>371</v>
      </c>
      <c r="B28" s="277"/>
      <c r="C28" s="745">
        <f>D28+E28</f>
        <v>0</v>
      </c>
      <c r="D28" s="747"/>
      <c r="E28" s="747"/>
      <c r="F28" s="747"/>
      <c r="G28" s="747"/>
      <c r="H28" s="745">
        <f t="shared" si="2"/>
        <v>0</v>
      </c>
      <c r="I28" s="745">
        <f t="shared" si="3"/>
        <v>0</v>
      </c>
      <c r="J28" s="745">
        <f t="shared" si="4"/>
        <v>0</v>
      </c>
      <c r="K28" s="747"/>
      <c r="L28" s="747"/>
      <c r="M28" s="747"/>
      <c r="N28" s="747"/>
      <c r="O28" s="747"/>
      <c r="P28" s="747"/>
      <c r="Q28" s="747"/>
      <c r="R28" s="747"/>
      <c r="S28" s="747"/>
      <c r="T28" s="745">
        <f t="shared" si="6"/>
        <v>0</v>
      </c>
      <c r="U28" s="746">
        <f t="shared" si="1"/>
      </c>
    </row>
    <row r="29" spans="1:21" s="185" customFormat="1" ht="15.75" customHeight="1" hidden="1">
      <c r="A29" s="276" t="s">
        <v>371</v>
      </c>
      <c r="B29" s="277"/>
      <c r="C29" s="745">
        <f>D29+E29</f>
        <v>0</v>
      </c>
      <c r="D29" s="747"/>
      <c r="E29" s="747"/>
      <c r="F29" s="747"/>
      <c r="G29" s="747"/>
      <c r="H29" s="745">
        <f t="shared" si="2"/>
        <v>0</v>
      </c>
      <c r="I29" s="745">
        <f t="shared" si="3"/>
        <v>0</v>
      </c>
      <c r="J29" s="745">
        <f t="shared" si="4"/>
        <v>0</v>
      </c>
      <c r="K29" s="747"/>
      <c r="L29" s="747"/>
      <c r="M29" s="747"/>
      <c r="N29" s="747"/>
      <c r="O29" s="747"/>
      <c r="P29" s="747"/>
      <c r="Q29" s="747"/>
      <c r="R29" s="747"/>
      <c r="S29" s="747"/>
      <c r="T29" s="745">
        <f t="shared" si="6"/>
        <v>0</v>
      </c>
      <c r="U29" s="746">
        <f t="shared" si="1"/>
      </c>
    </row>
    <row r="30" spans="1:21" s="185" customFormat="1" ht="15.75">
      <c r="A30" s="276" t="s">
        <v>371</v>
      </c>
      <c r="B30" s="277" t="s">
        <v>395</v>
      </c>
      <c r="C30" s="745">
        <f>D30+E30</f>
        <v>7325787</v>
      </c>
      <c r="D30" s="747">
        <v>3269560</v>
      </c>
      <c r="E30" s="747">
        <v>4056227</v>
      </c>
      <c r="F30" s="747">
        <v>90000</v>
      </c>
      <c r="G30" s="747"/>
      <c r="H30" s="745">
        <f t="shared" si="2"/>
        <v>7235787</v>
      </c>
      <c r="I30" s="745">
        <f t="shared" si="3"/>
        <v>5079768</v>
      </c>
      <c r="J30" s="745">
        <f t="shared" si="4"/>
        <v>1331763</v>
      </c>
      <c r="K30" s="747">
        <v>1122164</v>
      </c>
      <c r="L30" s="747">
        <v>205770</v>
      </c>
      <c r="M30" s="747">
        <v>3829</v>
      </c>
      <c r="N30" s="747">
        <v>3708005</v>
      </c>
      <c r="O30" s="747">
        <v>40000</v>
      </c>
      <c r="P30" s="747"/>
      <c r="Q30" s="747">
        <v>2156018</v>
      </c>
      <c r="R30" s="747">
        <v>1</v>
      </c>
      <c r="S30" s="747"/>
      <c r="T30" s="745">
        <f t="shared" si="6"/>
        <v>5904024</v>
      </c>
      <c r="U30" s="746">
        <f t="shared" si="1"/>
        <v>0.2621700439862608</v>
      </c>
    </row>
    <row r="31" spans="1:21" s="185" customFormat="1" ht="15.75">
      <c r="A31" s="276" t="s">
        <v>372</v>
      </c>
      <c r="B31" s="277" t="s">
        <v>377</v>
      </c>
      <c r="C31" s="745">
        <f>D31+E31</f>
        <v>15524885</v>
      </c>
      <c r="D31" s="747">
        <v>4761155</v>
      </c>
      <c r="E31" s="747">
        <v>10763730</v>
      </c>
      <c r="F31" s="747">
        <v>900</v>
      </c>
      <c r="G31" s="747"/>
      <c r="H31" s="745">
        <f t="shared" si="2"/>
        <v>15523985</v>
      </c>
      <c r="I31" s="745">
        <f t="shared" si="3"/>
        <v>9921444</v>
      </c>
      <c r="J31" s="745">
        <f t="shared" si="4"/>
        <v>2941626</v>
      </c>
      <c r="K31" s="747">
        <v>1222683</v>
      </c>
      <c r="L31" s="747">
        <v>1718943</v>
      </c>
      <c r="M31" s="747"/>
      <c r="N31" s="747">
        <v>6979818</v>
      </c>
      <c r="O31" s="747"/>
      <c r="P31" s="747"/>
      <c r="Q31" s="747">
        <v>2946251</v>
      </c>
      <c r="R31" s="747">
        <v>2656290</v>
      </c>
      <c r="S31" s="747"/>
      <c r="T31" s="745">
        <f t="shared" si="6"/>
        <v>12582359</v>
      </c>
      <c r="U31" s="746">
        <f t="shared" si="1"/>
        <v>0.29649172035844784</v>
      </c>
    </row>
    <row r="32" spans="1:21" s="185" customFormat="1" ht="15.75" customHeight="1">
      <c r="A32" s="276" t="s">
        <v>373</v>
      </c>
      <c r="B32" s="277" t="s">
        <v>378</v>
      </c>
      <c r="C32" s="745">
        <f>D32+E32</f>
        <v>10567971</v>
      </c>
      <c r="D32" s="747">
        <v>4113838</v>
      </c>
      <c r="E32" s="747">
        <v>6454133</v>
      </c>
      <c r="F32" s="747">
        <v>431571</v>
      </c>
      <c r="G32" s="747"/>
      <c r="H32" s="745">
        <f t="shared" si="2"/>
        <v>10136400</v>
      </c>
      <c r="I32" s="745">
        <f t="shared" si="3"/>
        <v>7158813</v>
      </c>
      <c r="J32" s="745">
        <f t="shared" si="4"/>
        <v>3019852</v>
      </c>
      <c r="K32" s="747">
        <v>1688800</v>
      </c>
      <c r="L32" s="747">
        <v>1319873</v>
      </c>
      <c r="M32" s="747">
        <v>11179</v>
      </c>
      <c r="N32" s="747">
        <v>4138961</v>
      </c>
      <c r="O32" s="747"/>
      <c r="P32" s="747"/>
      <c r="Q32" s="747">
        <v>2344471</v>
      </c>
      <c r="R32" s="747">
        <v>633116</v>
      </c>
      <c r="S32" s="747"/>
      <c r="T32" s="745">
        <f t="shared" si="6"/>
        <v>7116548</v>
      </c>
      <c r="U32" s="746">
        <f t="shared" si="1"/>
        <v>0.4218369721349056</v>
      </c>
    </row>
    <row r="33" spans="1:21" s="185" customFormat="1" ht="15.75">
      <c r="A33" s="274" t="s">
        <v>14</v>
      </c>
      <c r="B33" s="275" t="s">
        <v>345</v>
      </c>
      <c r="C33" s="743">
        <f>SUM(C34:C39)</f>
        <v>22155874</v>
      </c>
      <c r="D33" s="743">
        <f>SUM(D34:D39)</f>
        <v>14027835</v>
      </c>
      <c r="E33" s="743">
        <f>SUM(E34:E39)</f>
        <v>8128039</v>
      </c>
      <c r="F33" s="743">
        <f>SUM(F34:F39)</f>
        <v>8100</v>
      </c>
      <c r="G33" s="743">
        <f>SUM(G34:G39)</f>
        <v>0</v>
      </c>
      <c r="H33" s="743">
        <f t="shared" si="2"/>
        <v>22147774</v>
      </c>
      <c r="I33" s="743">
        <f t="shared" si="3"/>
        <v>13087717</v>
      </c>
      <c r="J33" s="743">
        <f t="shared" si="4"/>
        <v>5711359</v>
      </c>
      <c r="K33" s="743">
        <f aca="true" t="shared" si="9" ref="K33:S33">SUM(K34:K39)</f>
        <v>4677348</v>
      </c>
      <c r="L33" s="743">
        <f t="shared" si="9"/>
        <v>1012685</v>
      </c>
      <c r="M33" s="743">
        <f t="shared" si="9"/>
        <v>21326</v>
      </c>
      <c r="N33" s="743">
        <f t="shared" si="9"/>
        <v>7376358</v>
      </c>
      <c r="O33" s="743">
        <f t="shared" si="9"/>
        <v>0</v>
      </c>
      <c r="P33" s="743">
        <f t="shared" si="9"/>
        <v>0</v>
      </c>
      <c r="Q33" s="743">
        <f t="shared" si="9"/>
        <v>7836057</v>
      </c>
      <c r="R33" s="743">
        <f t="shared" si="9"/>
        <v>1224000</v>
      </c>
      <c r="S33" s="743">
        <f t="shared" si="9"/>
        <v>0</v>
      </c>
      <c r="T33" s="743">
        <f t="shared" si="6"/>
        <v>16436415</v>
      </c>
      <c r="U33" s="744">
        <f t="shared" si="1"/>
        <v>0.4363907777040106</v>
      </c>
    </row>
    <row r="34" spans="1:21" s="185" customFormat="1" ht="15.75">
      <c r="A34" s="276" t="s">
        <v>17</v>
      </c>
      <c r="B34" s="277" t="s">
        <v>384</v>
      </c>
      <c r="C34" s="745">
        <f>D34+E34</f>
        <v>246867</v>
      </c>
      <c r="D34" s="747">
        <v>181095</v>
      </c>
      <c r="E34" s="747">
        <v>65772</v>
      </c>
      <c r="F34" s="747"/>
      <c r="G34" s="747"/>
      <c r="H34" s="745">
        <f t="shared" si="2"/>
        <v>246867</v>
      </c>
      <c r="I34" s="745">
        <f t="shared" si="3"/>
        <v>93044</v>
      </c>
      <c r="J34" s="745">
        <f t="shared" si="4"/>
        <v>74727</v>
      </c>
      <c r="K34" s="747">
        <v>40550</v>
      </c>
      <c r="L34" s="747">
        <v>30690</v>
      </c>
      <c r="M34" s="747">
        <v>3487</v>
      </c>
      <c r="N34" s="747">
        <v>18317</v>
      </c>
      <c r="O34" s="747"/>
      <c r="P34" s="747"/>
      <c r="Q34" s="747">
        <v>153823</v>
      </c>
      <c r="R34" s="747"/>
      <c r="S34" s="747"/>
      <c r="T34" s="745">
        <f t="shared" si="6"/>
        <v>172140</v>
      </c>
      <c r="U34" s="746">
        <f t="shared" si="1"/>
        <v>0.8031361506384076</v>
      </c>
    </row>
    <row r="35" spans="1:21" s="185" customFormat="1" ht="15.75">
      <c r="A35" s="276" t="s">
        <v>18</v>
      </c>
      <c r="B35" s="278" t="s">
        <v>376</v>
      </c>
      <c r="C35" s="745">
        <f>D35+E35</f>
        <v>7754613</v>
      </c>
      <c r="D35" s="747">
        <v>3444309</v>
      </c>
      <c r="E35" s="747">
        <v>4310304</v>
      </c>
      <c r="F35" s="747">
        <v>6000</v>
      </c>
      <c r="G35" s="747"/>
      <c r="H35" s="745">
        <f t="shared" si="2"/>
        <v>7748613</v>
      </c>
      <c r="I35" s="745">
        <f t="shared" si="3"/>
        <v>4390015</v>
      </c>
      <c r="J35" s="745">
        <f t="shared" si="4"/>
        <v>1774375</v>
      </c>
      <c r="K35" s="747">
        <v>1721212</v>
      </c>
      <c r="L35" s="747">
        <v>39080</v>
      </c>
      <c r="M35" s="747">
        <v>14083</v>
      </c>
      <c r="N35" s="747">
        <v>2615640</v>
      </c>
      <c r="O35" s="747"/>
      <c r="P35" s="747"/>
      <c r="Q35" s="747">
        <v>2134598</v>
      </c>
      <c r="R35" s="747">
        <v>1224000</v>
      </c>
      <c r="S35" s="747"/>
      <c r="T35" s="745">
        <f t="shared" si="6"/>
        <v>5974238</v>
      </c>
      <c r="U35" s="746">
        <f t="shared" si="1"/>
        <v>0.40418426816309283</v>
      </c>
    </row>
    <row r="36" spans="1:21" s="185" customFormat="1" ht="15.75">
      <c r="A36" s="276" t="s">
        <v>390</v>
      </c>
      <c r="B36" s="278" t="s">
        <v>394</v>
      </c>
      <c r="C36" s="745">
        <f>D36+E36</f>
        <v>7457673</v>
      </c>
      <c r="D36" s="747">
        <v>5705367</v>
      </c>
      <c r="E36" s="747">
        <v>1752306</v>
      </c>
      <c r="F36" s="747"/>
      <c r="G36" s="747"/>
      <c r="H36" s="745">
        <f t="shared" si="2"/>
        <v>7457673</v>
      </c>
      <c r="I36" s="745">
        <f t="shared" si="3"/>
        <v>6011933</v>
      </c>
      <c r="J36" s="745">
        <f t="shared" si="4"/>
        <v>2246665</v>
      </c>
      <c r="K36" s="747">
        <v>1505007</v>
      </c>
      <c r="L36" s="747">
        <v>737902</v>
      </c>
      <c r="M36" s="747">
        <v>3756</v>
      </c>
      <c r="N36" s="747">
        <v>3765268</v>
      </c>
      <c r="O36" s="747"/>
      <c r="P36" s="747"/>
      <c r="Q36" s="747">
        <v>1445740</v>
      </c>
      <c r="R36" s="747"/>
      <c r="S36" s="747"/>
      <c r="T36" s="745">
        <f t="shared" si="6"/>
        <v>5211008</v>
      </c>
      <c r="U36" s="746">
        <f t="shared" si="1"/>
        <v>0.37370093778490215</v>
      </c>
    </row>
    <row r="37" spans="1:21" s="185" customFormat="1" ht="15.75">
      <c r="A37" s="276" t="s">
        <v>391</v>
      </c>
      <c r="B37" s="278" t="s">
        <v>386</v>
      </c>
      <c r="C37" s="745">
        <f>D37+E37</f>
        <v>6696721</v>
      </c>
      <c r="D37" s="747">
        <v>4697064</v>
      </c>
      <c r="E37" s="747">
        <v>1999657</v>
      </c>
      <c r="F37" s="747">
        <v>2100</v>
      </c>
      <c r="G37" s="747"/>
      <c r="H37" s="745">
        <f t="shared" si="2"/>
        <v>6694621</v>
      </c>
      <c r="I37" s="745">
        <f t="shared" si="3"/>
        <v>2592725</v>
      </c>
      <c r="J37" s="745">
        <f t="shared" si="4"/>
        <v>1615592</v>
      </c>
      <c r="K37" s="747">
        <v>1410579</v>
      </c>
      <c r="L37" s="747">
        <v>205013</v>
      </c>
      <c r="M37" s="747"/>
      <c r="N37" s="747">
        <v>977133</v>
      </c>
      <c r="O37" s="747"/>
      <c r="P37" s="747"/>
      <c r="Q37" s="747">
        <v>4101896</v>
      </c>
      <c r="R37" s="747"/>
      <c r="S37" s="747"/>
      <c r="T37" s="745">
        <f t="shared" si="6"/>
        <v>5079029</v>
      </c>
      <c r="U37" s="746">
        <f t="shared" si="1"/>
        <v>0.623125090397169</v>
      </c>
    </row>
    <row r="38" spans="1:21" s="185" customFormat="1" ht="15.75" hidden="1">
      <c r="A38" s="276" t="s">
        <v>392</v>
      </c>
      <c r="B38" s="278"/>
      <c r="C38" s="745">
        <f>D38+E38</f>
        <v>0</v>
      </c>
      <c r="D38" s="747"/>
      <c r="E38" s="747"/>
      <c r="F38" s="747"/>
      <c r="G38" s="747"/>
      <c r="H38" s="745">
        <f t="shared" si="2"/>
        <v>0</v>
      </c>
      <c r="I38" s="745">
        <f t="shared" si="3"/>
        <v>0</v>
      </c>
      <c r="J38" s="745">
        <f t="shared" si="4"/>
        <v>0</v>
      </c>
      <c r="K38" s="747"/>
      <c r="L38" s="747"/>
      <c r="M38" s="747"/>
      <c r="N38" s="747"/>
      <c r="O38" s="747"/>
      <c r="P38" s="747"/>
      <c r="Q38" s="747"/>
      <c r="R38" s="747"/>
      <c r="S38" s="747"/>
      <c r="T38" s="745">
        <f t="shared" si="6"/>
        <v>0</v>
      </c>
      <c r="U38" s="746">
        <f t="shared" si="1"/>
      </c>
    </row>
    <row r="39" spans="1:21" s="185" customFormat="1" ht="15.75" hidden="1">
      <c r="A39" s="276"/>
      <c r="B39" s="278"/>
      <c r="C39" s="745">
        <f>D39+E39</f>
        <v>0</v>
      </c>
      <c r="D39" s="747">
        <v>0</v>
      </c>
      <c r="E39" s="747"/>
      <c r="F39" s="747">
        <v>0</v>
      </c>
      <c r="G39" s="747"/>
      <c r="H39" s="745">
        <f t="shared" si="2"/>
        <v>0</v>
      </c>
      <c r="I39" s="745">
        <f t="shared" si="3"/>
        <v>0</v>
      </c>
      <c r="J39" s="745">
        <f t="shared" si="4"/>
        <v>0</v>
      </c>
      <c r="K39" s="747"/>
      <c r="L39" s="747"/>
      <c r="M39" s="747"/>
      <c r="N39" s="747"/>
      <c r="O39" s="747"/>
      <c r="P39" s="747"/>
      <c r="Q39" s="747"/>
      <c r="R39" s="747"/>
      <c r="S39" s="747"/>
      <c r="T39" s="745">
        <f t="shared" si="6"/>
        <v>0</v>
      </c>
      <c r="U39" s="746">
        <f t="shared" si="1"/>
      </c>
    </row>
    <row r="40" spans="1:21" s="185" customFormat="1" ht="15.75">
      <c r="A40" s="274" t="s">
        <v>19</v>
      </c>
      <c r="B40" s="275" t="s">
        <v>346</v>
      </c>
      <c r="C40" s="743">
        <f>SUM(C41:C45)</f>
        <v>38437929</v>
      </c>
      <c r="D40" s="743">
        <f>SUM(D41:D45)</f>
        <v>24124384</v>
      </c>
      <c r="E40" s="743">
        <f>SUM(E41:E45)</f>
        <v>14313545</v>
      </c>
      <c r="F40" s="743">
        <f>SUM(F41:F45)</f>
        <v>1700</v>
      </c>
      <c r="G40" s="743">
        <f>SUM(G41:G45)</f>
        <v>1688</v>
      </c>
      <c r="H40" s="743">
        <f aca="true" t="shared" si="10" ref="H40:H45">I40+Q40+R40+S40</f>
        <v>38434541</v>
      </c>
      <c r="I40" s="743">
        <f aca="true" t="shared" si="11" ref="I40:I45">SUM(J40,N40:P40)</f>
        <v>25398970</v>
      </c>
      <c r="J40" s="743">
        <f aca="true" t="shared" si="12" ref="J40:J45">SUM(K40:M40)</f>
        <v>4314524</v>
      </c>
      <c r="K40" s="743">
        <f>SUM(K41:K45)</f>
        <v>3781514</v>
      </c>
      <c r="L40" s="743">
        <f>SUM(L41:L45)</f>
        <v>508081</v>
      </c>
      <c r="M40" s="743">
        <f>SUM(M41:M45)</f>
        <v>24929</v>
      </c>
      <c r="N40" s="743">
        <f>SUM(N41:N45)</f>
        <v>21084446</v>
      </c>
      <c r="O40" s="743">
        <f>SUM(O41:O45)</f>
        <v>0</v>
      </c>
      <c r="P40" s="743">
        <f>SUM(P41:P45)</f>
        <v>0</v>
      </c>
      <c r="Q40" s="743">
        <f>SUM(Q41:Q45)</f>
        <v>11106237</v>
      </c>
      <c r="R40" s="743">
        <f>SUM(R41:R45)</f>
        <v>1929334</v>
      </c>
      <c r="S40" s="743">
        <f>SUM(S41:S45)</f>
        <v>0</v>
      </c>
      <c r="T40" s="743">
        <f aca="true" t="shared" si="13" ref="T40:T45">SUM(N40:S40)</f>
        <v>34120017</v>
      </c>
      <c r="U40" s="744">
        <f aca="true" t="shared" si="14" ref="U40:U45">IF(I40&lt;&gt;0,J40/I40,"")</f>
        <v>0.1698700380369755</v>
      </c>
    </row>
    <row r="41" spans="1:21" s="185" customFormat="1" ht="15.75">
      <c r="A41" s="268" t="s">
        <v>379</v>
      </c>
      <c r="B41" s="378" t="s">
        <v>369</v>
      </c>
      <c r="C41" s="745">
        <f>D41+E41</f>
        <v>122035</v>
      </c>
      <c r="D41" s="745">
        <v>43608</v>
      </c>
      <c r="E41" s="745">
        <v>78427</v>
      </c>
      <c r="F41" s="745"/>
      <c r="G41" s="745"/>
      <c r="H41" s="745">
        <f t="shared" si="10"/>
        <v>122035</v>
      </c>
      <c r="I41" s="745">
        <f t="shared" si="11"/>
        <v>94835</v>
      </c>
      <c r="J41" s="745">
        <f t="shared" si="12"/>
        <v>86470</v>
      </c>
      <c r="K41" s="745">
        <v>77439</v>
      </c>
      <c r="L41" s="745">
        <v>9031</v>
      </c>
      <c r="M41" s="745"/>
      <c r="N41" s="745">
        <v>8365</v>
      </c>
      <c r="O41" s="745"/>
      <c r="P41" s="745"/>
      <c r="Q41" s="745">
        <v>27200</v>
      </c>
      <c r="R41" s="745"/>
      <c r="S41" s="745"/>
      <c r="T41" s="745">
        <f t="shared" si="13"/>
        <v>35565</v>
      </c>
      <c r="U41" s="746">
        <f t="shared" si="14"/>
        <v>0.9117941688195287</v>
      </c>
    </row>
    <row r="42" spans="1:21" s="185" customFormat="1" ht="15.75">
      <c r="A42" s="268" t="s">
        <v>380</v>
      </c>
      <c r="B42" s="378" t="s">
        <v>354</v>
      </c>
      <c r="C42" s="745">
        <f>D42+E42</f>
        <v>10439316</v>
      </c>
      <c r="D42" s="745">
        <v>7002567</v>
      </c>
      <c r="E42" s="745">
        <v>3436749</v>
      </c>
      <c r="F42" s="745"/>
      <c r="G42" s="745"/>
      <c r="H42" s="745">
        <f t="shared" si="10"/>
        <v>10439316</v>
      </c>
      <c r="I42" s="745">
        <f t="shared" si="11"/>
        <v>5797599</v>
      </c>
      <c r="J42" s="745">
        <f t="shared" si="12"/>
        <v>877797</v>
      </c>
      <c r="K42" s="745">
        <v>679404</v>
      </c>
      <c r="L42" s="745">
        <v>189772</v>
      </c>
      <c r="M42" s="745">
        <v>8621</v>
      </c>
      <c r="N42" s="745">
        <v>4919802</v>
      </c>
      <c r="O42" s="745"/>
      <c r="P42" s="745"/>
      <c r="Q42" s="745">
        <v>4384136</v>
      </c>
      <c r="R42" s="745">
        <v>257581</v>
      </c>
      <c r="S42" s="745"/>
      <c r="T42" s="745">
        <f t="shared" si="13"/>
        <v>9561519</v>
      </c>
      <c r="U42" s="746">
        <f t="shared" si="14"/>
        <v>0.15140698761677032</v>
      </c>
    </row>
    <row r="43" spans="1:21" s="185" customFormat="1" ht="15.75">
      <c r="A43" s="268" t="s">
        <v>381</v>
      </c>
      <c r="B43" s="378" t="s">
        <v>387</v>
      </c>
      <c r="C43" s="745">
        <f>D43+E43</f>
        <v>15902353</v>
      </c>
      <c r="D43" s="745">
        <v>9498656</v>
      </c>
      <c r="E43" s="745">
        <v>6403697</v>
      </c>
      <c r="F43" s="745">
        <v>1000</v>
      </c>
      <c r="G43" s="745">
        <v>1688</v>
      </c>
      <c r="H43" s="745">
        <f t="shared" si="10"/>
        <v>15899665</v>
      </c>
      <c r="I43" s="745">
        <f t="shared" si="11"/>
        <v>9132202</v>
      </c>
      <c r="J43" s="745">
        <f t="shared" si="12"/>
        <v>732935</v>
      </c>
      <c r="K43" s="745">
        <v>678587</v>
      </c>
      <c r="L43" s="745">
        <v>38040</v>
      </c>
      <c r="M43" s="745">
        <v>16308</v>
      </c>
      <c r="N43" s="745">
        <v>8399267</v>
      </c>
      <c r="O43" s="745"/>
      <c r="P43" s="745"/>
      <c r="Q43" s="745">
        <v>5983463</v>
      </c>
      <c r="R43" s="745">
        <v>784000</v>
      </c>
      <c r="S43" s="745"/>
      <c r="T43" s="745">
        <f t="shared" si="13"/>
        <v>15166730</v>
      </c>
      <c r="U43" s="746">
        <f t="shared" si="14"/>
        <v>0.08025829914844196</v>
      </c>
    </row>
    <row r="44" spans="1:21" s="185" customFormat="1" ht="15.75">
      <c r="A44" s="268" t="s">
        <v>382</v>
      </c>
      <c r="B44" s="378" t="s">
        <v>388</v>
      </c>
      <c r="C44" s="745">
        <f>D44+E44</f>
        <v>11974225</v>
      </c>
      <c r="D44" s="745">
        <v>7579553</v>
      </c>
      <c r="E44" s="745">
        <v>4394672</v>
      </c>
      <c r="F44" s="745">
        <v>700</v>
      </c>
      <c r="G44" s="745"/>
      <c r="H44" s="745">
        <f t="shared" si="10"/>
        <v>11973525</v>
      </c>
      <c r="I44" s="745">
        <f t="shared" si="11"/>
        <v>10374334</v>
      </c>
      <c r="J44" s="745">
        <f t="shared" si="12"/>
        <v>2617322</v>
      </c>
      <c r="K44" s="745">
        <v>2346084</v>
      </c>
      <c r="L44" s="745">
        <v>271238</v>
      </c>
      <c r="M44" s="745"/>
      <c r="N44" s="745">
        <v>7757012</v>
      </c>
      <c r="O44" s="745"/>
      <c r="P44" s="745"/>
      <c r="Q44" s="745">
        <v>711438</v>
      </c>
      <c r="R44" s="745">
        <v>887753</v>
      </c>
      <c r="S44" s="745"/>
      <c r="T44" s="745">
        <f t="shared" si="13"/>
        <v>9356203</v>
      </c>
      <c r="U44" s="746">
        <f t="shared" si="14"/>
        <v>0.2522881950783539</v>
      </c>
    </row>
    <row r="45" spans="1:21" s="185" customFormat="1" ht="15.75" hidden="1">
      <c r="A45" s="268" t="s">
        <v>383</v>
      </c>
      <c r="B45" s="378"/>
      <c r="C45" s="745">
        <f>D45+E45</f>
        <v>0</v>
      </c>
      <c r="D45" s="745"/>
      <c r="E45" s="745"/>
      <c r="F45" s="745"/>
      <c r="G45" s="745"/>
      <c r="H45" s="745">
        <f t="shared" si="10"/>
        <v>0</v>
      </c>
      <c r="I45" s="745">
        <f t="shared" si="11"/>
        <v>0</v>
      </c>
      <c r="J45" s="745">
        <f t="shared" si="12"/>
        <v>0</v>
      </c>
      <c r="K45" s="745"/>
      <c r="L45" s="745"/>
      <c r="M45" s="745"/>
      <c r="N45" s="745"/>
      <c r="O45" s="745"/>
      <c r="P45" s="745"/>
      <c r="Q45" s="745"/>
      <c r="R45" s="745"/>
      <c r="S45" s="745"/>
      <c r="T45" s="745">
        <f t="shared" si="13"/>
        <v>0</v>
      </c>
      <c r="U45" s="746">
        <f t="shared" si="14"/>
      </c>
    </row>
    <row r="46" spans="1:21" s="185" customFormat="1" ht="15.75">
      <c r="A46" s="274" t="s">
        <v>22</v>
      </c>
      <c r="B46" s="275" t="s">
        <v>347</v>
      </c>
      <c r="C46" s="743">
        <f>SUM(C47:C50)</f>
        <v>15778511</v>
      </c>
      <c r="D46" s="743">
        <f>SUM(D47:D50)</f>
        <v>10788445</v>
      </c>
      <c r="E46" s="743">
        <f>SUM(E47:E50)</f>
        <v>4990066</v>
      </c>
      <c r="F46" s="743">
        <f>SUM(F47:F50)</f>
        <v>46500</v>
      </c>
      <c r="G46" s="743">
        <f>SUM(G47:G50)</f>
        <v>0</v>
      </c>
      <c r="H46" s="743">
        <f>I46+Q46+R46+S46</f>
        <v>15732011</v>
      </c>
      <c r="I46" s="743">
        <f>SUM(J46,N46:P46)</f>
        <v>10495067</v>
      </c>
      <c r="J46" s="743">
        <f>SUM(K46:M46)</f>
        <v>5190264</v>
      </c>
      <c r="K46" s="743">
        <f aca="true" t="shared" si="15" ref="K46:S46">SUM(K47:K50)</f>
        <v>4318256</v>
      </c>
      <c r="L46" s="743">
        <f t="shared" si="15"/>
        <v>872008</v>
      </c>
      <c r="M46" s="743">
        <f t="shared" si="15"/>
        <v>0</v>
      </c>
      <c r="N46" s="743">
        <f t="shared" si="15"/>
        <v>5304803</v>
      </c>
      <c r="O46" s="743">
        <f t="shared" si="15"/>
        <v>0</v>
      </c>
      <c r="P46" s="743">
        <f t="shared" si="15"/>
        <v>0</v>
      </c>
      <c r="Q46" s="743">
        <f t="shared" si="15"/>
        <v>5236943</v>
      </c>
      <c r="R46" s="743">
        <f t="shared" si="15"/>
        <v>1</v>
      </c>
      <c r="S46" s="743">
        <f t="shared" si="15"/>
        <v>0</v>
      </c>
      <c r="T46" s="743">
        <f>SUM(N46:S46)</f>
        <v>10541747</v>
      </c>
      <c r="U46" s="744">
        <f>IF(I46&lt;&gt;0,J46/I46,"")</f>
        <v>0.49454319824732895</v>
      </c>
    </row>
    <row r="47" spans="1:21" s="185" customFormat="1" ht="15.75">
      <c r="A47" s="268" t="s">
        <v>355</v>
      </c>
      <c r="B47" s="378" t="s">
        <v>359</v>
      </c>
      <c r="C47" s="745">
        <f>D47+E47</f>
        <v>3000</v>
      </c>
      <c r="D47" s="745"/>
      <c r="E47" s="745">
        <v>3000</v>
      </c>
      <c r="F47" s="745"/>
      <c r="G47" s="745"/>
      <c r="H47" s="745">
        <f>I47+Q47+R47+S47</f>
        <v>3000</v>
      </c>
      <c r="I47" s="745">
        <f>SUM(J47,N47:P47)</f>
        <v>3000</v>
      </c>
      <c r="J47" s="745">
        <f>SUM(K47:M47)</f>
        <v>3000</v>
      </c>
      <c r="K47" s="745">
        <v>3000</v>
      </c>
      <c r="L47" s="745"/>
      <c r="M47" s="745"/>
      <c r="N47" s="745"/>
      <c r="O47" s="745"/>
      <c r="P47" s="745"/>
      <c r="Q47" s="745"/>
      <c r="R47" s="745"/>
      <c r="S47" s="745"/>
      <c r="T47" s="745">
        <f>SUM(N47:S47)</f>
        <v>0</v>
      </c>
      <c r="U47" s="746">
        <f>IF(I47&lt;&gt;0,J47/I47,"")</f>
        <v>1</v>
      </c>
    </row>
    <row r="48" spans="1:21" s="185" customFormat="1" ht="15.75">
      <c r="A48" s="268" t="s">
        <v>356</v>
      </c>
      <c r="B48" s="378" t="s">
        <v>361</v>
      </c>
      <c r="C48" s="745">
        <f>D48+E48</f>
        <v>6897203</v>
      </c>
      <c r="D48" s="745">
        <v>4908447</v>
      </c>
      <c r="E48" s="745">
        <v>1988756</v>
      </c>
      <c r="F48" s="745">
        <v>20300</v>
      </c>
      <c r="G48" s="745"/>
      <c r="H48" s="745">
        <f>I48+Q48+R48+S48</f>
        <v>6876903</v>
      </c>
      <c r="I48" s="745">
        <f>SUM(J48,N48:P48)</f>
        <v>4968736</v>
      </c>
      <c r="J48" s="745">
        <f>SUM(K48:M48)</f>
        <v>3528526</v>
      </c>
      <c r="K48" s="745">
        <v>2660600</v>
      </c>
      <c r="L48" s="745">
        <v>867926</v>
      </c>
      <c r="M48" s="745"/>
      <c r="N48" s="745">
        <v>1440210</v>
      </c>
      <c r="O48" s="745"/>
      <c r="P48" s="745"/>
      <c r="Q48" s="745">
        <v>1908166</v>
      </c>
      <c r="R48" s="745">
        <v>1</v>
      </c>
      <c r="S48" s="745"/>
      <c r="T48" s="745">
        <f>SUM(N48:S48)</f>
        <v>3348377</v>
      </c>
      <c r="U48" s="746">
        <f>IF(I48&lt;&gt;0,J48/I48,"")</f>
        <v>0.7101455983976609</v>
      </c>
    </row>
    <row r="49" spans="1:21" s="185" customFormat="1" ht="15.75">
      <c r="A49" s="268" t="s">
        <v>357</v>
      </c>
      <c r="B49" s="378" t="s">
        <v>432</v>
      </c>
      <c r="C49" s="745">
        <f>D49+E49</f>
        <v>2928283</v>
      </c>
      <c r="D49" s="745">
        <v>1687128</v>
      </c>
      <c r="E49" s="745">
        <v>1241155</v>
      </c>
      <c r="F49" s="745"/>
      <c r="G49" s="745"/>
      <c r="H49" s="745">
        <f>I49+Q49+R49+S49</f>
        <v>2928283</v>
      </c>
      <c r="I49" s="745">
        <f>SUM(J49,N49:P49)</f>
        <v>1616585</v>
      </c>
      <c r="J49" s="745">
        <f>SUM(K49:M49)</f>
        <v>341536</v>
      </c>
      <c r="K49" s="745">
        <v>341536</v>
      </c>
      <c r="L49" s="745"/>
      <c r="M49" s="745"/>
      <c r="N49" s="745">
        <v>1275049</v>
      </c>
      <c r="O49" s="745"/>
      <c r="P49" s="745"/>
      <c r="Q49" s="745">
        <v>1311698</v>
      </c>
      <c r="R49" s="745"/>
      <c r="S49" s="745"/>
      <c r="T49" s="745">
        <f>SUM(N49:S49)</f>
        <v>2586747</v>
      </c>
      <c r="U49" s="746">
        <f>IF(I49&lt;&gt;0,J49/I49,"")</f>
        <v>0.21127005384808098</v>
      </c>
    </row>
    <row r="50" spans="1:21" s="185" customFormat="1" ht="15.75">
      <c r="A50" s="268" t="s">
        <v>358</v>
      </c>
      <c r="B50" s="378" t="s">
        <v>433</v>
      </c>
      <c r="C50" s="745">
        <f>D50+E50</f>
        <v>5950025</v>
      </c>
      <c r="D50" s="745">
        <v>4192870</v>
      </c>
      <c r="E50" s="745">
        <v>1757155</v>
      </c>
      <c r="F50" s="745">
        <v>26200</v>
      </c>
      <c r="G50" s="745"/>
      <c r="H50" s="745">
        <f>I50+Q50+R50+S50</f>
        <v>5923825</v>
      </c>
      <c r="I50" s="745">
        <f>SUM(J50,N50:P50)</f>
        <v>3906746</v>
      </c>
      <c r="J50" s="745">
        <f>SUM(K50:M50)</f>
        <v>1317202</v>
      </c>
      <c r="K50" s="745">
        <v>1313120</v>
      </c>
      <c r="L50" s="745">
        <v>4082</v>
      </c>
      <c r="M50" s="745"/>
      <c r="N50" s="745">
        <v>2589544</v>
      </c>
      <c r="O50" s="745"/>
      <c r="P50" s="745"/>
      <c r="Q50" s="745">
        <v>2017079</v>
      </c>
      <c r="R50" s="745"/>
      <c r="S50" s="745"/>
      <c r="T50" s="745">
        <f>SUM(N50:S50)</f>
        <v>4606623</v>
      </c>
      <c r="U50" s="746">
        <f>IF(I50&lt;&gt;0,J50/I50,"")</f>
        <v>0.3371609006574781</v>
      </c>
    </row>
    <row r="51" spans="1:21" s="185" customFormat="1" ht="15.75">
      <c r="A51" s="274" t="s">
        <v>23</v>
      </c>
      <c r="B51" s="275" t="s">
        <v>348</v>
      </c>
      <c r="C51" s="743">
        <f>SUM(C52:C54)</f>
        <v>5251657</v>
      </c>
      <c r="D51" s="743">
        <f>SUM(D52:D54)</f>
        <v>2797887</v>
      </c>
      <c r="E51" s="743">
        <f>SUM(E52:E54)</f>
        <v>2453770</v>
      </c>
      <c r="F51" s="743">
        <f>SUM(F52:F54)</f>
        <v>0</v>
      </c>
      <c r="G51" s="743">
        <f>SUM(G52:G54)</f>
        <v>0</v>
      </c>
      <c r="H51" s="743">
        <f>I51+Q51+R51+S51</f>
        <v>5251657</v>
      </c>
      <c r="I51" s="743">
        <f>SUM(J51,N51:P51)</f>
        <v>3029780</v>
      </c>
      <c r="J51" s="743">
        <f>SUM(K51:M51)</f>
        <v>1272064</v>
      </c>
      <c r="K51" s="743">
        <f>SUM(K52:K54)</f>
        <v>759515</v>
      </c>
      <c r="L51" s="743">
        <f>SUM(L52:L54)</f>
        <v>508396</v>
      </c>
      <c r="M51" s="743">
        <f>SUM(M52:M54)</f>
        <v>4153</v>
      </c>
      <c r="N51" s="743">
        <f>SUM(N52:N54)</f>
        <v>1711716</v>
      </c>
      <c r="O51" s="743">
        <f>SUM(O52:O54)</f>
        <v>46000</v>
      </c>
      <c r="P51" s="743">
        <f>SUM(P52:P54)</f>
        <v>0</v>
      </c>
      <c r="Q51" s="743">
        <f>SUM(Q52:Q54)</f>
        <v>1472026</v>
      </c>
      <c r="R51" s="743">
        <f>SUM(R52:R54)</f>
        <v>749851</v>
      </c>
      <c r="S51" s="743">
        <f>SUM(S52:S54)</f>
        <v>0</v>
      </c>
      <c r="T51" s="743">
        <f>SUM(N51:S51)</f>
        <v>3979593</v>
      </c>
      <c r="U51" s="744">
        <f>IF(I51&lt;&gt;0,J51/I51,"")</f>
        <v>0.4198535867290694</v>
      </c>
    </row>
    <row r="52" spans="1:21" s="185" customFormat="1" ht="15.75">
      <c r="A52" s="268" t="s">
        <v>362</v>
      </c>
      <c r="B52" s="269" t="s">
        <v>445</v>
      </c>
      <c r="C52" s="745">
        <f>D52+E52</f>
        <v>2995523</v>
      </c>
      <c r="D52" s="745">
        <v>1938055</v>
      </c>
      <c r="E52" s="745">
        <v>1057468</v>
      </c>
      <c r="F52" s="745"/>
      <c r="G52" s="745"/>
      <c r="H52" s="745">
        <f>I52+Q52+R52+S52</f>
        <v>2245672</v>
      </c>
      <c r="I52" s="745">
        <f>SUM(J52,N52:P52)</f>
        <v>1402680</v>
      </c>
      <c r="J52" s="745">
        <f>SUM(K52:M52)</f>
        <v>508092</v>
      </c>
      <c r="K52" s="745">
        <v>109353</v>
      </c>
      <c r="L52" s="745">
        <v>398739</v>
      </c>
      <c r="M52" s="745"/>
      <c r="N52" s="745">
        <v>848588</v>
      </c>
      <c r="O52" s="745">
        <v>46000</v>
      </c>
      <c r="P52" s="745"/>
      <c r="Q52" s="745">
        <v>842992</v>
      </c>
      <c r="R52" s="745"/>
      <c r="S52" s="745"/>
      <c r="T52" s="745">
        <f>SUM(N52:S52)</f>
        <v>1737580</v>
      </c>
      <c r="U52" s="746">
        <f>IF(I52&lt;&gt;0,J52/I52,"")</f>
        <v>0.36222944648815125</v>
      </c>
    </row>
    <row r="53" spans="1:21" s="185" customFormat="1" ht="15.75">
      <c r="A53" s="268" t="s">
        <v>363</v>
      </c>
      <c r="B53" s="269" t="s">
        <v>365</v>
      </c>
      <c r="C53" s="745">
        <f>D53+E53</f>
        <v>1955676</v>
      </c>
      <c r="D53" s="745">
        <v>720588</v>
      </c>
      <c r="E53" s="745">
        <v>1235088</v>
      </c>
      <c r="F53" s="745"/>
      <c r="G53" s="745"/>
      <c r="H53" s="745">
        <f>I53+Q53+R53+S53</f>
        <v>1955676</v>
      </c>
      <c r="I53" s="745">
        <f>SUM(J53,N53:P53)</f>
        <v>1363142</v>
      </c>
      <c r="J53" s="745">
        <f>SUM(K53:M53)</f>
        <v>574841</v>
      </c>
      <c r="K53" s="745">
        <v>532731</v>
      </c>
      <c r="L53" s="745">
        <v>37957</v>
      </c>
      <c r="M53" s="745">
        <v>4153</v>
      </c>
      <c r="N53" s="745">
        <v>788301</v>
      </c>
      <c r="O53" s="745"/>
      <c r="P53" s="745"/>
      <c r="Q53" s="745">
        <v>592534</v>
      </c>
      <c r="R53" s="745"/>
      <c r="S53" s="745"/>
      <c r="T53" s="745">
        <f>SUM(N53:S53)</f>
        <v>1380835</v>
      </c>
      <c r="U53" s="746">
        <f>IF(I53&lt;&gt;0,J53/I53,"")</f>
        <v>0.42170294804209685</v>
      </c>
    </row>
    <row r="54" spans="1:21" s="185" customFormat="1" ht="15.75">
      <c r="A54" s="268" t="s">
        <v>364</v>
      </c>
      <c r="B54" s="269" t="s">
        <v>450</v>
      </c>
      <c r="C54" s="745">
        <f>D54+E54</f>
        <v>300458</v>
      </c>
      <c r="D54" s="745">
        <v>139244</v>
      </c>
      <c r="E54" s="745">
        <v>161214</v>
      </c>
      <c r="F54" s="745"/>
      <c r="G54" s="745"/>
      <c r="H54" s="745">
        <f>I54+Q54+R54+S54</f>
        <v>1050309</v>
      </c>
      <c r="I54" s="745">
        <f>SUM(J54,N54:P54)</f>
        <v>263958</v>
      </c>
      <c r="J54" s="745">
        <f>SUM(K54:M54)</f>
        <v>189131</v>
      </c>
      <c r="K54" s="745">
        <v>117431</v>
      </c>
      <c r="L54" s="745">
        <v>71700</v>
      </c>
      <c r="M54" s="745"/>
      <c r="N54" s="745">
        <v>74827</v>
      </c>
      <c r="O54" s="745"/>
      <c r="P54" s="745"/>
      <c r="Q54" s="745">
        <v>36500</v>
      </c>
      <c r="R54" s="745">
        <v>749851</v>
      </c>
      <c r="S54" s="745"/>
      <c r="T54" s="745">
        <f>SUM(N54:S54)</f>
        <v>861178</v>
      </c>
      <c r="U54" s="746">
        <f>IF(I54&lt;&gt;0,J54/I54,"")</f>
        <v>0.7165192947362838</v>
      </c>
    </row>
    <row r="55" spans="1:21" s="185" customFormat="1" ht="15.75">
      <c r="A55" s="274" t="s">
        <v>24</v>
      </c>
      <c r="B55" s="275" t="s">
        <v>401</v>
      </c>
      <c r="C55" s="743">
        <f>SUM(C56:C57)</f>
        <v>2998640</v>
      </c>
      <c r="D55" s="743">
        <f>SUM(D56:D57)</f>
        <v>2049505</v>
      </c>
      <c r="E55" s="743">
        <f>SUM(E56:E57)</f>
        <v>949135</v>
      </c>
      <c r="F55" s="743">
        <f>SUM(F56:F57)</f>
        <v>281000</v>
      </c>
      <c r="G55" s="743">
        <f>SUM(G56:G57)</f>
        <v>0</v>
      </c>
      <c r="H55" s="743">
        <f>I55+Q55+R55+S55</f>
        <v>2717640</v>
      </c>
      <c r="I55" s="743">
        <f>SUM(J55,N55:P55)</f>
        <v>1298619</v>
      </c>
      <c r="J55" s="743">
        <f>SUM(K55:M55)</f>
        <v>700003</v>
      </c>
      <c r="K55" s="743">
        <f aca="true" t="shared" si="16" ref="K55:S55">SUM(K56:K57)</f>
        <v>590423</v>
      </c>
      <c r="L55" s="743">
        <f t="shared" si="16"/>
        <v>109580</v>
      </c>
      <c r="M55" s="743">
        <f t="shared" si="16"/>
        <v>0</v>
      </c>
      <c r="N55" s="743">
        <f t="shared" si="16"/>
        <v>598616</v>
      </c>
      <c r="O55" s="743">
        <f t="shared" si="16"/>
        <v>0</v>
      </c>
      <c r="P55" s="743">
        <f t="shared" si="16"/>
        <v>0</v>
      </c>
      <c r="Q55" s="743">
        <f t="shared" si="16"/>
        <v>1419021</v>
      </c>
      <c r="R55" s="743">
        <f t="shared" si="16"/>
        <v>0</v>
      </c>
      <c r="S55" s="743">
        <f t="shared" si="16"/>
        <v>0</v>
      </c>
      <c r="T55" s="743">
        <f>SUM(N55:S55)</f>
        <v>2017637</v>
      </c>
      <c r="U55" s="744">
        <f>IF(I55&lt;&gt;0,J55/I55,"")</f>
        <v>0.5390364687410241</v>
      </c>
    </row>
    <row r="56" spans="1:21" s="185" customFormat="1" ht="15.75">
      <c r="A56" s="268" t="s">
        <v>351</v>
      </c>
      <c r="B56" s="269" t="s">
        <v>353</v>
      </c>
      <c r="C56" s="745">
        <f>D56+E56</f>
        <v>1628640</v>
      </c>
      <c r="D56" s="745">
        <v>1079603</v>
      </c>
      <c r="E56" s="745">
        <v>549037</v>
      </c>
      <c r="F56" s="745">
        <v>281000</v>
      </c>
      <c r="G56" s="745"/>
      <c r="H56" s="745">
        <f>I56+Q56+R56+S56</f>
        <v>1347640</v>
      </c>
      <c r="I56" s="745">
        <f>SUM(J56,N56:P56)</f>
        <v>660038</v>
      </c>
      <c r="J56" s="745">
        <f>SUM(K56:M56)</f>
        <v>447876</v>
      </c>
      <c r="K56" s="745">
        <v>379876</v>
      </c>
      <c r="L56" s="745">
        <v>68000</v>
      </c>
      <c r="M56" s="745"/>
      <c r="N56" s="745">
        <v>212162</v>
      </c>
      <c r="O56" s="745"/>
      <c r="P56" s="745"/>
      <c r="Q56" s="745">
        <v>687602</v>
      </c>
      <c r="R56" s="745"/>
      <c r="S56" s="745"/>
      <c r="T56" s="745">
        <f>SUM(N56:S56)</f>
        <v>899764</v>
      </c>
      <c r="U56" s="746">
        <f>IF(I56&lt;&gt;0,J56/I56,"")</f>
        <v>0.6785609313403168</v>
      </c>
    </row>
    <row r="57" spans="1:21" s="185" customFormat="1" ht="15.75">
      <c r="A57" s="268" t="s">
        <v>352</v>
      </c>
      <c r="B57" s="269" t="s">
        <v>360</v>
      </c>
      <c r="C57" s="745">
        <f>D57+E57</f>
        <v>1370000</v>
      </c>
      <c r="D57" s="745">
        <v>969902</v>
      </c>
      <c r="E57" s="745">
        <v>400098</v>
      </c>
      <c r="F57" s="745"/>
      <c r="G57" s="745"/>
      <c r="H57" s="745">
        <f>I57+Q57+R57+S57</f>
        <v>1370000</v>
      </c>
      <c r="I57" s="745">
        <f>SUM(J57,N57:P57)</f>
        <v>638581</v>
      </c>
      <c r="J57" s="745">
        <f>SUM(K57:M57)</f>
        <v>252127</v>
      </c>
      <c r="K57" s="745">
        <v>210547</v>
      </c>
      <c r="L57" s="745">
        <v>41580</v>
      </c>
      <c r="M57" s="745"/>
      <c r="N57" s="745">
        <v>386454</v>
      </c>
      <c r="O57" s="745"/>
      <c r="P57" s="745"/>
      <c r="Q57" s="745">
        <v>731419</v>
      </c>
      <c r="R57" s="745"/>
      <c r="S57" s="745"/>
      <c r="T57" s="745">
        <f>SUM(N57:S57)</f>
        <v>1117873</v>
      </c>
      <c r="U57" s="746">
        <f>IF(I57&lt;&gt;0,J57/I57,"")</f>
        <v>0.3948238359738232</v>
      </c>
    </row>
    <row r="58" spans="1:21" s="185" customFormat="1" ht="15.75">
      <c r="A58" s="274" t="s">
        <v>25</v>
      </c>
      <c r="B58" s="275" t="s">
        <v>350</v>
      </c>
      <c r="C58" s="743">
        <f>SUM(C59:C60)</f>
        <v>4582375</v>
      </c>
      <c r="D58" s="743">
        <f>SUM(D59:D60)</f>
        <v>3926698</v>
      </c>
      <c r="E58" s="743">
        <f>SUM(E59:E60)</f>
        <v>655677</v>
      </c>
      <c r="F58" s="743">
        <f>SUM(F59:F60)</f>
        <v>583765</v>
      </c>
      <c r="G58" s="743">
        <f>SUM(G59:G60)</f>
        <v>0</v>
      </c>
      <c r="H58" s="743">
        <f>I58+Q58+R58+S58</f>
        <v>3998610</v>
      </c>
      <c r="I58" s="743">
        <f>SUM(J58,N58:P58)</f>
        <v>1321196</v>
      </c>
      <c r="J58" s="743">
        <f>SUM(K58:M58)</f>
        <v>427049</v>
      </c>
      <c r="K58" s="743">
        <f aca="true" t="shared" si="17" ref="K58:S58">SUM(K59:K60)</f>
        <v>414667</v>
      </c>
      <c r="L58" s="743">
        <f t="shared" si="17"/>
        <v>2500</v>
      </c>
      <c r="M58" s="743">
        <f t="shared" si="17"/>
        <v>9882</v>
      </c>
      <c r="N58" s="743">
        <f t="shared" si="17"/>
        <v>894147</v>
      </c>
      <c r="O58" s="743">
        <f t="shared" si="17"/>
        <v>0</v>
      </c>
      <c r="P58" s="743">
        <f t="shared" si="17"/>
        <v>0</v>
      </c>
      <c r="Q58" s="743">
        <f t="shared" si="17"/>
        <v>2677414</v>
      </c>
      <c r="R58" s="743">
        <f t="shared" si="17"/>
        <v>0</v>
      </c>
      <c r="S58" s="743">
        <f t="shared" si="17"/>
        <v>0</v>
      </c>
      <c r="T58" s="743">
        <f>SUM(N58:S58)</f>
        <v>3571561</v>
      </c>
      <c r="U58" s="744">
        <f>IF(I58&lt;&gt;0,J58/I58,"")</f>
        <v>0.32322910453861503</v>
      </c>
    </row>
    <row r="59" spans="1:21" s="185" customFormat="1" ht="15.75">
      <c r="A59" s="268" t="s">
        <v>367</v>
      </c>
      <c r="B59" s="269" t="s">
        <v>430</v>
      </c>
      <c r="C59" s="745">
        <f>D59+E59</f>
        <v>1586423</v>
      </c>
      <c r="D59" s="745">
        <v>1330248</v>
      </c>
      <c r="E59" s="745">
        <v>256175</v>
      </c>
      <c r="F59" s="745"/>
      <c r="G59" s="745"/>
      <c r="H59" s="745">
        <f>I59+Q59+R59+S59</f>
        <v>1586423</v>
      </c>
      <c r="I59" s="745">
        <f>SUM(J59,N59:P59)</f>
        <v>122831</v>
      </c>
      <c r="J59" s="745">
        <f>SUM(K59:M59)</f>
        <v>33732</v>
      </c>
      <c r="K59" s="745">
        <v>33732</v>
      </c>
      <c r="L59" s="745"/>
      <c r="M59" s="745"/>
      <c r="N59" s="745">
        <v>89099</v>
      </c>
      <c r="O59" s="745"/>
      <c r="P59" s="745"/>
      <c r="Q59" s="745">
        <v>1463592</v>
      </c>
      <c r="R59" s="745"/>
      <c r="S59" s="745"/>
      <c r="T59" s="745">
        <f>SUM(N59:S59)</f>
        <v>1552691</v>
      </c>
      <c r="U59" s="746">
        <f>IF(I59&lt;&gt;0,J59/I59,"")</f>
        <v>0.2746212275402789</v>
      </c>
    </row>
    <row r="60" spans="1:21" s="185" customFormat="1" ht="17.25" customHeight="1">
      <c r="A60" s="276" t="s">
        <v>368</v>
      </c>
      <c r="B60" s="277" t="s">
        <v>366</v>
      </c>
      <c r="C60" s="745">
        <f>D60+E60</f>
        <v>2995952</v>
      </c>
      <c r="D60" s="747">
        <v>2596450</v>
      </c>
      <c r="E60" s="747">
        <v>399502</v>
      </c>
      <c r="F60" s="747">
        <v>583765</v>
      </c>
      <c r="G60" s="747"/>
      <c r="H60" s="745">
        <f>I60+Q60+R60+S60</f>
        <v>2412187</v>
      </c>
      <c r="I60" s="745">
        <f>SUM(J60,N60:P60)</f>
        <v>1198365</v>
      </c>
      <c r="J60" s="745">
        <f>SUM(K60:M60)</f>
        <v>393317</v>
      </c>
      <c r="K60" s="747">
        <v>380935</v>
      </c>
      <c r="L60" s="747">
        <v>2500</v>
      </c>
      <c r="M60" s="747">
        <v>9882</v>
      </c>
      <c r="N60" s="747">
        <v>805048</v>
      </c>
      <c r="O60" s="747"/>
      <c r="P60" s="747"/>
      <c r="Q60" s="747">
        <v>1213822</v>
      </c>
      <c r="R60" s="747"/>
      <c r="S60" s="747"/>
      <c r="T60" s="745">
        <f>SUM(N60:S60)</f>
        <v>2018870</v>
      </c>
      <c r="U60" s="746">
        <f>IF(I60&lt;&gt;0,J60/I60,"")</f>
        <v>0.32821135463736006</v>
      </c>
    </row>
    <row r="61" spans="1:21" s="185" customFormat="1" ht="15.75">
      <c r="A61" s="399"/>
      <c r="B61" s="398"/>
      <c r="C61" s="451"/>
      <c r="D61" s="397"/>
      <c r="E61" s="397"/>
      <c r="F61" s="397"/>
      <c r="G61" s="397"/>
      <c r="H61" s="451"/>
      <c r="I61" s="451"/>
      <c r="J61" s="451"/>
      <c r="K61" s="397"/>
      <c r="L61" s="397"/>
      <c r="M61" s="397"/>
      <c r="N61" s="397"/>
      <c r="O61" s="397"/>
      <c r="P61" s="397"/>
      <c r="Q61" s="397"/>
      <c r="R61" s="397"/>
      <c r="S61" s="397"/>
      <c r="T61" s="451"/>
      <c r="U61" s="452"/>
    </row>
    <row r="62" spans="1:21" s="185" customFormat="1" ht="15.75">
      <c r="A62" s="399"/>
      <c r="B62" s="398"/>
      <c r="C62" s="451"/>
      <c r="D62" s="397"/>
      <c r="E62" s="397"/>
      <c r="F62" s="397"/>
      <c r="G62" s="397"/>
      <c r="H62" s="451"/>
      <c r="I62" s="451"/>
      <c r="J62" s="451"/>
      <c r="K62" s="397"/>
      <c r="L62" s="397"/>
      <c r="M62" s="397"/>
      <c r="N62" s="397"/>
      <c r="O62" s="397"/>
      <c r="P62" s="397"/>
      <c r="Q62" s="397"/>
      <c r="R62" s="397"/>
      <c r="S62" s="397"/>
      <c r="T62" s="451"/>
      <c r="U62" s="452"/>
    </row>
    <row r="63" spans="1:21" ht="21" customHeight="1">
      <c r="A63" s="604" t="str">
        <f>TT!C7</f>
        <v>Tuyên Quang, ngày 4 tháng 5 năm 2022</v>
      </c>
      <c r="B63" s="605"/>
      <c r="C63" s="605"/>
      <c r="D63" s="605"/>
      <c r="E63" s="605"/>
      <c r="F63" s="247"/>
      <c r="G63" s="247"/>
      <c r="H63" s="247"/>
      <c r="I63" s="246"/>
      <c r="J63" s="246"/>
      <c r="K63" s="246"/>
      <c r="L63" s="246"/>
      <c r="M63" s="246"/>
      <c r="N63" s="606" t="str">
        <f>TT!C4</f>
        <v>Tuyên Quang, ngày 4 tháng 5 năm 2022</v>
      </c>
      <c r="O63" s="607"/>
      <c r="P63" s="607"/>
      <c r="Q63" s="607"/>
      <c r="R63" s="607"/>
      <c r="S63" s="607"/>
      <c r="T63" s="607"/>
      <c r="U63" s="607"/>
    </row>
    <row r="64" spans="1:21" ht="21" customHeight="1">
      <c r="A64" s="523" t="s">
        <v>290</v>
      </c>
      <c r="B64" s="524"/>
      <c r="C64" s="524"/>
      <c r="D64" s="524"/>
      <c r="E64" s="524"/>
      <c r="F64" s="247"/>
      <c r="G64" s="247"/>
      <c r="H64" s="247"/>
      <c r="I64" s="182"/>
      <c r="J64" s="182"/>
      <c r="K64" s="182"/>
      <c r="L64" s="182"/>
      <c r="M64" s="182"/>
      <c r="N64" s="525" t="str">
        <f>TT!C5</f>
        <v>CỤC TRƯỞNG</v>
      </c>
      <c r="O64" s="525"/>
      <c r="P64" s="525"/>
      <c r="Q64" s="525"/>
      <c r="R64" s="525"/>
      <c r="S64" s="525"/>
      <c r="T64" s="525"/>
      <c r="U64" s="525"/>
    </row>
    <row r="65" spans="1:21" ht="66.75" customHeight="1">
      <c r="A65" s="248"/>
      <c r="B65" s="248"/>
      <c r="C65" s="248"/>
      <c r="D65" s="248"/>
      <c r="E65" s="248"/>
      <c r="F65" s="176"/>
      <c r="G65" s="176"/>
      <c r="H65" s="176"/>
      <c r="I65" s="182"/>
      <c r="J65" s="182"/>
      <c r="K65" s="182"/>
      <c r="L65" s="182"/>
      <c r="M65" s="182"/>
      <c r="N65" s="182"/>
      <c r="O65" s="182"/>
      <c r="P65" s="176"/>
      <c r="Q65" s="249"/>
      <c r="R65" s="176"/>
      <c r="S65" s="182"/>
      <c r="T65" s="178"/>
      <c r="U65" s="178"/>
    </row>
    <row r="66" spans="1:21" ht="21" customHeight="1">
      <c r="A66" s="526" t="str">
        <f>TT!C6</f>
        <v>Hà Thị Mai</v>
      </c>
      <c r="B66" s="526"/>
      <c r="C66" s="526"/>
      <c r="D66" s="526"/>
      <c r="E66" s="526"/>
      <c r="F66" s="250" t="s">
        <v>2</v>
      </c>
      <c r="G66" s="250"/>
      <c r="H66" s="250"/>
      <c r="I66" s="250"/>
      <c r="J66" s="250"/>
      <c r="K66" s="250"/>
      <c r="L66" s="250"/>
      <c r="M66" s="250"/>
      <c r="N66" s="527" t="str">
        <f>TT!C3</f>
        <v>Nguyễn Tuyên</v>
      </c>
      <c r="O66" s="527"/>
      <c r="P66" s="527"/>
      <c r="Q66" s="527"/>
      <c r="R66" s="527"/>
      <c r="S66" s="527"/>
      <c r="T66" s="527"/>
      <c r="U66" s="527"/>
    </row>
    <row r="67" ht="21" customHeight="1"/>
    <row r="68" ht="21" customHeight="1"/>
  </sheetData>
  <sheetProtection formatCells="0" formatColumns="0" formatRows="0" insertRows="0" deleteRows="0"/>
  <mergeCells count="34">
    <mergeCell ref="I3:S3"/>
    <mergeCell ref="Q4:Q7"/>
    <mergeCell ref="R4:R7"/>
    <mergeCell ref="S4:S7"/>
    <mergeCell ref="I4:I7"/>
    <mergeCell ref="J4:P4"/>
    <mergeCell ref="J5:J7"/>
    <mergeCell ref="K5:M6"/>
    <mergeCell ref="N5:N7"/>
    <mergeCell ref="O5:O7"/>
    <mergeCell ref="P5:P7"/>
    <mergeCell ref="U3:U7"/>
    <mergeCell ref="A63:E63"/>
    <mergeCell ref="A3:A7"/>
    <mergeCell ref="P1:U1"/>
    <mergeCell ref="C3:C7"/>
    <mergeCell ref="D4:D7"/>
    <mergeCell ref="E4:E7"/>
    <mergeCell ref="B3:B7"/>
    <mergeCell ref="E1:O1"/>
    <mergeCell ref="A1:D1"/>
    <mergeCell ref="D3:E3"/>
    <mergeCell ref="F3:F7"/>
    <mergeCell ref="G3:G7"/>
    <mergeCell ref="P2:U2"/>
    <mergeCell ref="T3:T7"/>
    <mergeCell ref="H3:H7"/>
    <mergeCell ref="A64:E64"/>
    <mergeCell ref="N64:U64"/>
    <mergeCell ref="A66:E66"/>
    <mergeCell ref="N66:U66"/>
    <mergeCell ref="A8:B8"/>
    <mergeCell ref="N63:U63"/>
    <mergeCell ref="A9:B9"/>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4" customWidth="1"/>
    <col min="14" max="14" width="7.125" style="84" customWidth="1"/>
    <col min="15" max="16" width="5.375" style="84" customWidth="1"/>
    <col min="17" max="17" width="5.875" style="84" customWidth="1"/>
    <col min="18" max="18" width="7.125" style="84" customWidth="1"/>
    <col min="19" max="19" width="5.875" style="84" customWidth="1"/>
    <col min="20" max="20" width="5.625" style="84" customWidth="1"/>
    <col min="21" max="21" width="5.875" style="84" customWidth="1"/>
    <col min="22" max="22" width="7.00390625" style="84" customWidth="1"/>
    <col min="23" max="16384" width="9.00390625" style="64" customWidth="1"/>
  </cols>
  <sheetData>
    <row r="1" spans="1:23" ht="66.75" customHeight="1">
      <c r="A1" s="613" t="s">
        <v>154</v>
      </c>
      <c r="B1" s="613"/>
      <c r="C1" s="613"/>
      <c r="D1" s="613"/>
      <c r="E1" s="613"/>
      <c r="F1" s="623" t="s">
        <v>125</v>
      </c>
      <c r="G1" s="623"/>
      <c r="H1" s="623"/>
      <c r="I1" s="623"/>
      <c r="J1" s="623"/>
      <c r="K1" s="623"/>
      <c r="L1" s="623"/>
      <c r="M1" s="623"/>
      <c r="N1" s="623"/>
      <c r="O1" s="623"/>
      <c r="P1" s="623"/>
      <c r="Q1" s="621" t="s">
        <v>150</v>
      </c>
      <c r="R1" s="621"/>
      <c r="S1" s="621"/>
      <c r="T1" s="621"/>
      <c r="U1" s="621"/>
      <c r="V1" s="621"/>
      <c r="W1" s="85"/>
    </row>
    <row r="2" spans="1:22" s="74" customFormat="1" ht="18.75" customHeight="1">
      <c r="A2" s="68"/>
      <c r="B2" s="69"/>
      <c r="C2" s="69"/>
      <c r="D2" s="69"/>
      <c r="E2" s="64"/>
      <c r="F2" s="64"/>
      <c r="G2" s="64"/>
      <c r="H2" s="64"/>
      <c r="I2" s="64"/>
      <c r="J2" s="64"/>
      <c r="K2" s="70"/>
      <c r="L2" s="73"/>
      <c r="M2" s="72">
        <f>COUNTBLANK(E9:V22)</f>
        <v>252</v>
      </c>
      <c r="N2" s="86">
        <f>COUNTA(E11:V11)</f>
        <v>0</v>
      </c>
      <c r="O2" s="72">
        <f>M2+N2</f>
        <v>252</v>
      </c>
      <c r="P2" s="72"/>
      <c r="Q2" s="86"/>
      <c r="R2" s="641" t="s">
        <v>123</v>
      </c>
      <c r="S2" s="641"/>
      <c r="T2" s="641"/>
      <c r="U2" s="641"/>
      <c r="V2" s="641"/>
    </row>
    <row r="3" spans="1:22" s="75" customFormat="1" ht="15.75" customHeight="1">
      <c r="A3" s="612" t="s">
        <v>21</v>
      </c>
      <c r="B3" s="612"/>
      <c r="C3" s="627" t="s">
        <v>155</v>
      </c>
      <c r="D3" s="620" t="s">
        <v>134</v>
      </c>
      <c r="E3" s="633" t="s">
        <v>75</v>
      </c>
      <c r="F3" s="634"/>
      <c r="G3" s="637" t="s">
        <v>36</v>
      </c>
      <c r="H3" s="619" t="s">
        <v>82</v>
      </c>
      <c r="I3" s="642" t="s">
        <v>37</v>
      </c>
      <c r="J3" s="642"/>
      <c r="K3" s="642"/>
      <c r="L3" s="642"/>
      <c r="M3" s="642"/>
      <c r="N3" s="642"/>
      <c r="O3" s="642"/>
      <c r="P3" s="642"/>
      <c r="Q3" s="642"/>
      <c r="R3" s="642"/>
      <c r="S3" s="642"/>
      <c r="T3" s="642"/>
      <c r="U3" s="630" t="s">
        <v>103</v>
      </c>
      <c r="V3" s="620" t="s">
        <v>108</v>
      </c>
    </row>
    <row r="4" spans="1:22" s="74" customFormat="1" ht="15.75" customHeight="1">
      <c r="A4" s="612"/>
      <c r="B4" s="612"/>
      <c r="C4" s="628"/>
      <c r="D4" s="620"/>
      <c r="E4" s="615" t="s">
        <v>137</v>
      </c>
      <c r="F4" s="615" t="s">
        <v>62</v>
      </c>
      <c r="G4" s="638"/>
      <c r="H4" s="619"/>
      <c r="I4" s="619" t="s">
        <v>37</v>
      </c>
      <c r="J4" s="620" t="s">
        <v>38</v>
      </c>
      <c r="K4" s="620"/>
      <c r="L4" s="620"/>
      <c r="M4" s="620"/>
      <c r="N4" s="620"/>
      <c r="O4" s="620"/>
      <c r="P4" s="620"/>
      <c r="Q4" s="620"/>
      <c r="R4" s="624" t="s">
        <v>139</v>
      </c>
      <c r="S4" s="624" t="s">
        <v>148</v>
      </c>
      <c r="T4" s="624" t="s">
        <v>81</v>
      </c>
      <c r="U4" s="630"/>
      <c r="V4" s="620"/>
    </row>
    <row r="5" spans="1:22" s="74" customFormat="1" ht="15.75" customHeight="1">
      <c r="A5" s="612"/>
      <c r="B5" s="612"/>
      <c r="C5" s="628"/>
      <c r="D5" s="620"/>
      <c r="E5" s="616"/>
      <c r="F5" s="616"/>
      <c r="G5" s="638"/>
      <c r="H5" s="619"/>
      <c r="I5" s="619"/>
      <c r="J5" s="619" t="s">
        <v>61</v>
      </c>
      <c r="K5" s="620" t="s">
        <v>75</v>
      </c>
      <c r="L5" s="620"/>
      <c r="M5" s="620"/>
      <c r="N5" s="620"/>
      <c r="O5" s="620"/>
      <c r="P5" s="620"/>
      <c r="Q5" s="620"/>
      <c r="R5" s="626"/>
      <c r="S5" s="626"/>
      <c r="T5" s="626"/>
      <c r="U5" s="630"/>
      <c r="V5" s="620"/>
    </row>
    <row r="6" spans="1:22" s="74" customFormat="1" ht="15.75" customHeight="1">
      <c r="A6" s="612"/>
      <c r="B6" s="612"/>
      <c r="C6" s="628"/>
      <c r="D6" s="620"/>
      <c r="E6" s="616"/>
      <c r="F6" s="616"/>
      <c r="G6" s="638"/>
      <c r="H6" s="619"/>
      <c r="I6" s="619"/>
      <c r="J6" s="619"/>
      <c r="K6" s="619" t="s">
        <v>96</v>
      </c>
      <c r="L6" s="620" t="s">
        <v>75</v>
      </c>
      <c r="M6" s="620"/>
      <c r="N6" s="620"/>
      <c r="O6" s="619" t="s">
        <v>42</v>
      </c>
      <c r="P6" s="624" t="s">
        <v>147</v>
      </c>
      <c r="Q6" s="619" t="s">
        <v>46</v>
      </c>
      <c r="R6" s="626"/>
      <c r="S6" s="626"/>
      <c r="T6" s="626"/>
      <c r="U6" s="630"/>
      <c r="V6" s="620"/>
    </row>
    <row r="7" spans="1:22" ht="51" customHeight="1">
      <c r="A7" s="612"/>
      <c r="B7" s="612"/>
      <c r="C7" s="629"/>
      <c r="D7" s="620"/>
      <c r="E7" s="617"/>
      <c r="F7" s="617"/>
      <c r="G7" s="639"/>
      <c r="H7" s="619"/>
      <c r="I7" s="619"/>
      <c r="J7" s="619"/>
      <c r="K7" s="619"/>
      <c r="L7" s="65" t="s">
        <v>39</v>
      </c>
      <c r="M7" s="65" t="s">
        <v>40</v>
      </c>
      <c r="N7" s="65" t="s">
        <v>156</v>
      </c>
      <c r="O7" s="619"/>
      <c r="P7" s="625"/>
      <c r="Q7" s="619"/>
      <c r="R7" s="625"/>
      <c r="S7" s="625"/>
      <c r="T7" s="625"/>
      <c r="U7" s="630"/>
      <c r="V7" s="620"/>
    </row>
    <row r="8" spans="1:22" ht="15.75">
      <c r="A8" s="640" t="s">
        <v>3</v>
      </c>
      <c r="B8" s="640"/>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640" t="s">
        <v>10</v>
      </c>
      <c r="B9" s="640"/>
      <c r="C9" s="59"/>
      <c r="D9" s="59"/>
      <c r="E9" s="59"/>
      <c r="F9" s="59"/>
      <c r="G9" s="59"/>
      <c r="H9" s="59"/>
      <c r="I9" s="59"/>
      <c r="J9" s="59"/>
      <c r="K9" s="59"/>
      <c r="L9" s="59"/>
      <c r="M9" s="59"/>
      <c r="N9" s="59"/>
      <c r="O9" s="59"/>
      <c r="P9" s="59"/>
      <c r="Q9" s="59"/>
      <c r="R9" s="59"/>
      <c r="S9" s="59"/>
      <c r="T9" s="59"/>
      <c r="U9" s="59"/>
      <c r="V9" s="59"/>
    </row>
    <row r="10" spans="1:22" ht="15.75">
      <c r="A10" s="87" t="s">
        <v>0</v>
      </c>
      <c r="B10" s="88"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7" t="s">
        <v>1</v>
      </c>
      <c r="B14" s="88" t="s">
        <v>8</v>
      </c>
      <c r="C14" s="59"/>
      <c r="D14" s="59"/>
      <c r="E14" s="59"/>
      <c r="F14" s="59"/>
      <c r="G14" s="59"/>
      <c r="H14" s="59"/>
      <c r="I14" s="59"/>
      <c r="J14" s="59"/>
      <c r="K14" s="59"/>
      <c r="L14" s="59"/>
      <c r="M14" s="59"/>
      <c r="N14" s="59"/>
      <c r="O14" s="59"/>
      <c r="P14" s="59"/>
      <c r="Q14" s="59"/>
      <c r="R14" s="59"/>
      <c r="S14" s="59"/>
      <c r="T14" s="59"/>
      <c r="U14" s="59"/>
      <c r="V14" s="59"/>
    </row>
    <row r="15" spans="1:22" ht="15.75">
      <c r="A15" s="87" t="s">
        <v>13</v>
      </c>
      <c r="B15" s="88"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7" t="s">
        <v>14</v>
      </c>
      <c r="B19" s="88"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89" t="s">
        <v>7</v>
      </c>
      <c r="C21" s="59"/>
      <c r="D21" s="59"/>
      <c r="E21" s="59"/>
      <c r="F21" s="59"/>
      <c r="G21" s="59"/>
      <c r="H21" s="59"/>
      <c r="I21" s="59"/>
      <c r="J21" s="59"/>
      <c r="K21" s="59"/>
      <c r="L21" s="59"/>
      <c r="M21" s="59"/>
      <c r="N21" s="59"/>
      <c r="O21" s="59"/>
      <c r="P21" s="59"/>
      <c r="Q21" s="59"/>
      <c r="R21" s="59"/>
      <c r="S21" s="59"/>
      <c r="T21" s="59"/>
      <c r="U21" s="59"/>
      <c r="V21" s="59"/>
    </row>
    <row r="22" spans="1:22" s="83"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614" t="s">
        <v>119</v>
      </c>
      <c r="B23" s="614"/>
      <c r="C23" s="614"/>
      <c r="D23" s="614"/>
      <c r="E23" s="614"/>
      <c r="F23" s="614"/>
      <c r="G23" s="614"/>
      <c r="H23" s="614"/>
      <c r="I23" s="614"/>
      <c r="J23" s="83"/>
      <c r="K23" s="83"/>
      <c r="L23" s="83"/>
      <c r="M23" s="83"/>
      <c r="N23" s="83"/>
      <c r="O23" s="618" t="s">
        <v>127</v>
      </c>
      <c r="P23" s="618"/>
      <c r="Q23" s="618"/>
      <c r="R23" s="618"/>
      <c r="S23" s="618"/>
      <c r="T23" s="618"/>
      <c r="U23" s="618"/>
      <c r="V23" s="618"/>
    </row>
  </sheetData>
  <sheetProtection/>
  <mergeCells count="31">
    <mergeCell ref="U3:U7"/>
    <mergeCell ref="K6:K7"/>
    <mergeCell ref="V3:V7"/>
    <mergeCell ref="S4:S7"/>
    <mergeCell ref="A1:E1"/>
    <mergeCell ref="F1:P1"/>
    <mergeCell ref="Q1:V1"/>
    <mergeCell ref="R2:V2"/>
    <mergeCell ref="R4:R7"/>
    <mergeCell ref="Q6:Q7"/>
    <mergeCell ref="E4:E7"/>
    <mergeCell ref="F4:F7"/>
    <mergeCell ref="I3:T3"/>
    <mergeCell ref="E3:F3"/>
    <mergeCell ref="D3:D7"/>
    <mergeCell ref="A23:I23"/>
    <mergeCell ref="O23:V23"/>
    <mergeCell ref="H3:H7"/>
    <mergeCell ref="A3:B7"/>
    <mergeCell ref="G3:G7"/>
    <mergeCell ref="I4:I7"/>
    <mergeCell ref="T4:T7"/>
    <mergeCell ref="P6:P7"/>
    <mergeCell ref="J5:J7"/>
    <mergeCell ref="L6:N6"/>
    <mergeCell ref="A9:B9"/>
    <mergeCell ref="J4:Q4"/>
    <mergeCell ref="A8:B8"/>
    <mergeCell ref="C3:C7"/>
    <mergeCell ref="K5:Q5"/>
    <mergeCell ref="O6:O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4"/>
  <sheetViews>
    <sheetView view="pageBreakPreview" zoomScale="115" zoomScaleSheetLayoutView="115" zoomScalePageLayoutView="0" workbookViewId="0" topLeftCell="A4">
      <selection activeCell="I17" sqref="I17"/>
    </sheetView>
  </sheetViews>
  <sheetFormatPr defaultColWidth="9.00390625" defaultRowHeight="15.75"/>
  <cols>
    <col min="1" max="1" width="4.375" style="3" customWidth="1"/>
    <col min="2" max="2" width="33.6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510" t="s">
        <v>330</v>
      </c>
      <c r="B1" s="510"/>
      <c r="C1" s="487" t="s">
        <v>437</v>
      </c>
      <c r="D1" s="487"/>
      <c r="E1" s="487"/>
      <c r="F1" s="487"/>
      <c r="G1" s="487"/>
      <c r="H1" s="487"/>
      <c r="I1" s="508" t="str">
        <f>TT!C2</f>
        <v>Đơn vị  báo cáo: 
Cục Thi hành án dân sự tỉnh Tuyên Quang
Đơn vị nhận báo cáo: Tổng cục Thi hành án dân sự</v>
      </c>
      <c r="J1" s="508"/>
      <c r="K1" s="101"/>
      <c r="P1" s="102"/>
    </row>
    <row r="2" spans="1:10" ht="17.25" customHeight="1">
      <c r="A2" s="25"/>
      <c r="B2" s="27"/>
      <c r="D2" s="37"/>
      <c r="E2" s="42">
        <f>COUNTBLANK(C9:J14)</f>
        <v>4</v>
      </c>
      <c r="F2" s="37"/>
      <c r="I2" s="652" t="s">
        <v>310</v>
      </c>
      <c r="J2" s="652"/>
    </row>
    <row r="3" spans="1:10" ht="20.25" customHeight="1">
      <c r="A3" s="653" t="s">
        <v>136</v>
      </c>
      <c r="B3" s="653" t="s">
        <v>157</v>
      </c>
      <c r="C3" s="656" t="s">
        <v>174</v>
      </c>
      <c r="D3" s="656"/>
      <c r="E3" s="656" t="s">
        <v>175</v>
      </c>
      <c r="F3" s="656"/>
      <c r="G3" s="656" t="s">
        <v>176</v>
      </c>
      <c r="H3" s="656"/>
      <c r="I3" s="656" t="s">
        <v>177</v>
      </c>
      <c r="J3" s="656"/>
    </row>
    <row r="4" spans="1:10" ht="9" customHeight="1">
      <c r="A4" s="654"/>
      <c r="B4" s="654"/>
      <c r="C4" s="645" t="s">
        <v>178</v>
      </c>
      <c r="D4" s="645" t="s">
        <v>179</v>
      </c>
      <c r="E4" s="645" t="s">
        <v>178</v>
      </c>
      <c r="F4" s="645" t="s">
        <v>179</v>
      </c>
      <c r="G4" s="645" t="s">
        <v>178</v>
      </c>
      <c r="H4" s="645" t="s">
        <v>179</v>
      </c>
      <c r="I4" s="645" t="s">
        <v>178</v>
      </c>
      <c r="J4" s="645" t="s">
        <v>179</v>
      </c>
    </row>
    <row r="5" spans="1:10" ht="9" customHeight="1">
      <c r="A5" s="654"/>
      <c r="B5" s="654"/>
      <c r="C5" s="646"/>
      <c r="D5" s="646"/>
      <c r="E5" s="646"/>
      <c r="F5" s="646"/>
      <c r="G5" s="646"/>
      <c r="H5" s="646"/>
      <c r="I5" s="646"/>
      <c r="J5" s="646"/>
    </row>
    <row r="6" spans="1:10" ht="9" customHeight="1">
      <c r="A6" s="654"/>
      <c r="B6" s="654"/>
      <c r="C6" s="646"/>
      <c r="D6" s="646"/>
      <c r="E6" s="646"/>
      <c r="F6" s="646"/>
      <c r="G6" s="646"/>
      <c r="H6" s="646"/>
      <c r="I6" s="646"/>
      <c r="J6" s="646"/>
    </row>
    <row r="7" spans="1:10" ht="9" customHeight="1">
      <c r="A7" s="655"/>
      <c r="B7" s="655"/>
      <c r="C7" s="647"/>
      <c r="D7" s="647"/>
      <c r="E7" s="647"/>
      <c r="F7" s="647"/>
      <c r="G7" s="647"/>
      <c r="H7" s="647"/>
      <c r="I7" s="647"/>
      <c r="J7" s="647"/>
    </row>
    <row r="8" spans="1:10" ht="15.75">
      <c r="A8" s="648" t="s">
        <v>3</v>
      </c>
      <c r="B8" s="649"/>
      <c r="C8" s="107" t="s">
        <v>13</v>
      </c>
      <c r="D8" s="107" t="s">
        <v>14</v>
      </c>
      <c r="E8" s="107" t="s">
        <v>19</v>
      </c>
      <c r="F8" s="107" t="s">
        <v>22</v>
      </c>
      <c r="G8" s="107" t="s">
        <v>23</v>
      </c>
      <c r="H8" s="107" t="s">
        <v>24</v>
      </c>
      <c r="I8" s="107" t="s">
        <v>25</v>
      </c>
      <c r="J8" s="107" t="s">
        <v>26</v>
      </c>
    </row>
    <row r="9" spans="1:10" s="283" customFormat="1" ht="15.75">
      <c r="A9" s="650" t="s">
        <v>12</v>
      </c>
      <c r="B9" s="650"/>
      <c r="C9" s="405">
        <f>C10+C11</f>
        <v>78</v>
      </c>
      <c r="D9" s="405">
        <f aca="true" t="shared" si="0" ref="D9:J9">D10+D11</f>
        <v>220811</v>
      </c>
      <c r="E9" s="405">
        <f t="shared" si="0"/>
        <v>69</v>
      </c>
      <c r="F9" s="405">
        <f t="shared" si="0"/>
        <v>203598</v>
      </c>
      <c r="G9" s="405">
        <f t="shared" si="0"/>
        <v>3</v>
      </c>
      <c r="H9" s="405">
        <f t="shared" si="0"/>
        <v>249688</v>
      </c>
      <c r="I9" s="405">
        <f t="shared" si="0"/>
        <v>3</v>
      </c>
      <c r="J9" s="405">
        <f t="shared" si="0"/>
        <v>249688</v>
      </c>
    </row>
    <row r="10" spans="1:10" s="283" customFormat="1" ht="15.75">
      <c r="A10" s="284" t="s">
        <v>0</v>
      </c>
      <c r="B10" s="285" t="s">
        <v>28</v>
      </c>
      <c r="C10" s="425">
        <v>1</v>
      </c>
      <c r="D10" s="425">
        <v>9873</v>
      </c>
      <c r="E10" s="425">
        <v>1</v>
      </c>
      <c r="F10" s="425">
        <v>9873</v>
      </c>
      <c r="G10" s="425">
        <v>0</v>
      </c>
      <c r="H10" s="330">
        <v>127775</v>
      </c>
      <c r="I10" s="425">
        <v>0</v>
      </c>
      <c r="J10" s="330">
        <v>127775</v>
      </c>
    </row>
    <row r="11" spans="1:10" s="283" customFormat="1" ht="15.75">
      <c r="A11" s="284" t="s">
        <v>1</v>
      </c>
      <c r="B11" s="285" t="s">
        <v>8</v>
      </c>
      <c r="C11" s="330">
        <f>SUM(C12:C18)</f>
        <v>77</v>
      </c>
      <c r="D11" s="330">
        <f aca="true" t="shared" si="1" ref="D11:J11">SUM(D12:D18)</f>
        <v>210938</v>
      </c>
      <c r="E11" s="330">
        <f t="shared" si="1"/>
        <v>68</v>
      </c>
      <c r="F11" s="330">
        <f t="shared" si="1"/>
        <v>193725</v>
      </c>
      <c r="G11" s="330">
        <f t="shared" si="1"/>
        <v>3</v>
      </c>
      <c r="H11" s="330">
        <f t="shared" si="1"/>
        <v>121913</v>
      </c>
      <c r="I11" s="425">
        <f t="shared" si="1"/>
        <v>3</v>
      </c>
      <c r="J11" s="330">
        <f t="shared" si="1"/>
        <v>121913</v>
      </c>
    </row>
    <row r="12" spans="1:10" s="283" customFormat="1" ht="15.75">
      <c r="A12" s="286" t="s">
        <v>13</v>
      </c>
      <c r="B12" s="287" t="s">
        <v>420</v>
      </c>
      <c r="C12" s="425">
        <v>9</v>
      </c>
      <c r="D12" s="425">
        <v>25913</v>
      </c>
      <c r="E12" s="425">
        <v>9</v>
      </c>
      <c r="F12" s="425">
        <v>25913</v>
      </c>
      <c r="G12" s="425"/>
      <c r="H12" s="425"/>
      <c r="I12" s="425"/>
      <c r="J12" s="425"/>
    </row>
    <row r="13" spans="1:14" s="283" customFormat="1" ht="15.75">
      <c r="A13" s="286" t="s">
        <v>14</v>
      </c>
      <c r="B13" s="287" t="s">
        <v>421</v>
      </c>
      <c r="C13" s="425">
        <v>9</v>
      </c>
      <c r="D13" s="425">
        <v>23346</v>
      </c>
      <c r="E13" s="425">
        <v>9</v>
      </c>
      <c r="F13" s="425">
        <v>23346</v>
      </c>
      <c r="G13" s="425">
        <v>0</v>
      </c>
      <c r="H13" s="425">
        <v>4434</v>
      </c>
      <c r="I13" s="425">
        <v>0</v>
      </c>
      <c r="J13" s="425">
        <v>4434</v>
      </c>
      <c r="N13" s="288"/>
    </row>
    <row r="14" spans="1:10" s="283" customFormat="1" ht="15.75">
      <c r="A14" s="286" t="s">
        <v>19</v>
      </c>
      <c r="B14" s="287" t="s">
        <v>422</v>
      </c>
      <c r="C14" s="404">
        <v>38</v>
      </c>
      <c r="D14" s="404">
        <v>116909</v>
      </c>
      <c r="E14" s="404">
        <v>31</v>
      </c>
      <c r="F14" s="404">
        <v>106950</v>
      </c>
      <c r="G14" s="425">
        <v>0</v>
      </c>
      <c r="H14" s="404">
        <v>109671</v>
      </c>
      <c r="I14" s="425">
        <v>0</v>
      </c>
      <c r="J14" s="404">
        <v>109671</v>
      </c>
    </row>
    <row r="15" spans="1:10" s="283" customFormat="1" ht="15.75">
      <c r="A15" s="286" t="s">
        <v>22</v>
      </c>
      <c r="B15" s="287" t="s">
        <v>423</v>
      </c>
      <c r="C15" s="404">
        <v>9</v>
      </c>
      <c r="D15" s="404">
        <v>16720</v>
      </c>
      <c r="E15" s="404">
        <v>9</v>
      </c>
      <c r="F15" s="404">
        <v>16720</v>
      </c>
      <c r="G15" s="425"/>
      <c r="H15" s="425"/>
      <c r="I15" s="425"/>
      <c r="J15" s="425"/>
    </row>
    <row r="16" spans="1:10" s="283" customFormat="1" ht="15.75">
      <c r="A16" s="286" t="s">
        <v>23</v>
      </c>
      <c r="B16" s="287" t="s">
        <v>424</v>
      </c>
      <c r="C16" s="425">
        <v>8</v>
      </c>
      <c r="D16" s="425">
        <v>20516</v>
      </c>
      <c r="E16" s="425">
        <v>8</v>
      </c>
      <c r="F16" s="425">
        <v>20516</v>
      </c>
      <c r="G16" s="425">
        <v>3</v>
      </c>
      <c r="H16" s="425">
        <v>7808</v>
      </c>
      <c r="I16" s="425">
        <v>3</v>
      </c>
      <c r="J16" s="425">
        <v>7808</v>
      </c>
    </row>
    <row r="17" spans="1:10" s="283" customFormat="1" ht="15.75">
      <c r="A17" s="286" t="s">
        <v>24</v>
      </c>
      <c r="B17" s="287" t="s">
        <v>425</v>
      </c>
      <c r="C17" s="425">
        <v>4</v>
      </c>
      <c r="D17" s="425">
        <v>7534</v>
      </c>
      <c r="E17" s="425">
        <v>2</v>
      </c>
      <c r="F17" s="425">
        <v>280</v>
      </c>
      <c r="G17" s="425"/>
      <c r="H17" s="425"/>
      <c r="I17" s="425"/>
      <c r="J17" s="425"/>
    </row>
    <row r="18" spans="1:10" s="283" customFormat="1" ht="15.75">
      <c r="A18" s="286" t="s">
        <v>25</v>
      </c>
      <c r="B18" s="289" t="s">
        <v>426</v>
      </c>
      <c r="C18" s="425">
        <v>0</v>
      </c>
      <c r="D18" s="425">
        <v>0</v>
      </c>
      <c r="E18" s="425">
        <v>0</v>
      </c>
      <c r="F18" s="425">
        <v>0</v>
      </c>
      <c r="G18" s="425">
        <v>0</v>
      </c>
      <c r="H18" s="425">
        <v>0</v>
      </c>
      <c r="I18" s="425">
        <v>0</v>
      </c>
      <c r="J18" s="425">
        <v>0</v>
      </c>
    </row>
    <row r="19" spans="1:11" s="103" customFormat="1" ht="22.5" customHeight="1">
      <c r="A19" s="6"/>
      <c r="B19" s="651" t="str">
        <f>TT!C7</f>
        <v>Tuyên Quang, ngày 4 tháng 5 năm 2022</v>
      </c>
      <c r="C19" s="651"/>
      <c r="D19" s="104"/>
      <c r="E19" s="279"/>
      <c r="F19" s="104"/>
      <c r="G19" s="651" t="str">
        <f>TT!C4</f>
        <v>Tuyên Quang, ngày 4 tháng 5 năm 2022</v>
      </c>
      <c r="H19" s="651"/>
      <c r="I19" s="651"/>
      <c r="J19" s="651"/>
      <c r="K19" s="3"/>
    </row>
    <row r="20" spans="1:10" ht="21.75" customHeight="1">
      <c r="A20" s="6"/>
      <c r="B20" s="643" t="s">
        <v>290</v>
      </c>
      <c r="C20" s="643"/>
      <c r="D20" s="280"/>
      <c r="E20" s="280"/>
      <c r="F20" s="280"/>
      <c r="G20" s="643" t="str">
        <f>TT!C5</f>
        <v>CỤC TRƯỞNG</v>
      </c>
      <c r="H20" s="643"/>
      <c r="I20" s="643"/>
      <c r="J20" s="643"/>
    </row>
    <row r="21" spans="2:10" ht="16.5">
      <c r="B21" s="281"/>
      <c r="C21" s="281"/>
      <c r="D21" s="282"/>
      <c r="E21" s="282"/>
      <c r="F21" s="282"/>
      <c r="G21" s="281"/>
      <c r="H21" s="281"/>
      <c r="I21" s="281"/>
      <c r="J21" s="281"/>
    </row>
    <row r="22" spans="2:10" ht="16.5">
      <c r="B22" s="281"/>
      <c r="C22" s="281"/>
      <c r="D22" s="282"/>
      <c r="E22" s="282"/>
      <c r="F22" s="282"/>
      <c r="G22" s="281"/>
      <c r="H22" s="281"/>
      <c r="I22" s="281"/>
      <c r="J22" s="281"/>
    </row>
    <row r="23" spans="2:10" ht="16.5">
      <c r="B23" s="281"/>
      <c r="C23" s="281"/>
      <c r="D23" s="282"/>
      <c r="E23" s="282"/>
      <c r="F23" s="282"/>
      <c r="G23" s="281"/>
      <c r="H23" s="281"/>
      <c r="I23" s="281"/>
      <c r="J23" s="281"/>
    </row>
    <row r="24" spans="2:10" ht="16.5">
      <c r="B24" s="644" t="str">
        <f>TT!C6</f>
        <v>Hà Thị Mai</v>
      </c>
      <c r="C24" s="644"/>
      <c r="D24" s="282"/>
      <c r="E24" s="282"/>
      <c r="F24" s="282"/>
      <c r="G24" s="644" t="str">
        <f>TT!C3</f>
        <v>Nguyễn Tuyên</v>
      </c>
      <c r="H24" s="644"/>
      <c r="I24" s="644"/>
      <c r="J24" s="644"/>
    </row>
  </sheetData>
  <sheetProtection formatCells="0" formatColumns="0" formatRows="0" insertRows="0" deleteRows="0"/>
  <mergeCells count="26">
    <mergeCell ref="A1:B1"/>
    <mergeCell ref="C1:H1"/>
    <mergeCell ref="I1:J1"/>
    <mergeCell ref="I2:J2"/>
    <mergeCell ref="A3:A7"/>
    <mergeCell ref="B3:B7"/>
    <mergeCell ref="C3:D3"/>
    <mergeCell ref="E3:F3"/>
    <mergeCell ref="G3:H3"/>
    <mergeCell ref="I3:J3"/>
    <mergeCell ref="B20:C20"/>
    <mergeCell ref="B24:C24"/>
    <mergeCell ref="G20:J20"/>
    <mergeCell ref="G24:J24"/>
    <mergeCell ref="C4:C7"/>
    <mergeCell ref="D4:D7"/>
    <mergeCell ref="E4:E7"/>
    <mergeCell ref="F4:F7"/>
    <mergeCell ref="G4:G7"/>
    <mergeCell ref="H4:H7"/>
    <mergeCell ref="I4:I7"/>
    <mergeCell ref="J4:J7"/>
    <mergeCell ref="A8:B8"/>
    <mergeCell ref="A9:B9"/>
    <mergeCell ref="G19:J19"/>
    <mergeCell ref="B19:C19"/>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4"/>
  <sheetViews>
    <sheetView view="pageBreakPreview" zoomScaleSheetLayoutView="100" zoomScalePageLayoutView="0" workbookViewId="0" topLeftCell="A1">
      <selection activeCell="I15" sqref="I15"/>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510" t="s">
        <v>331</v>
      </c>
      <c r="B1" s="510"/>
      <c r="C1" s="487" t="s">
        <v>438</v>
      </c>
      <c r="D1" s="487"/>
      <c r="E1" s="487"/>
      <c r="F1" s="487"/>
      <c r="G1" s="487"/>
      <c r="H1" s="487"/>
      <c r="I1" s="508" t="str">
        <f>TT!C2</f>
        <v>Đơn vị  báo cáo: 
Cục Thi hành án dân sự tỉnh Tuyên Quang
Đơn vị nhận báo cáo: Tổng cục Thi hành án dân sự</v>
      </c>
      <c r="J1" s="508"/>
    </row>
    <row r="2" spans="1:10" ht="15.75">
      <c r="A2" s="25"/>
      <c r="B2" s="27"/>
      <c r="C2" s="105"/>
      <c r="D2" s="298"/>
      <c r="E2" s="299"/>
      <c r="F2" s="299"/>
      <c r="G2" s="4"/>
      <c r="H2" s="106"/>
      <c r="I2" s="661" t="s">
        <v>120</v>
      </c>
      <c r="J2" s="661"/>
    </row>
    <row r="3" spans="1:10" s="2" customFormat="1" ht="20.25" customHeight="1">
      <c r="A3" s="645" t="s">
        <v>136</v>
      </c>
      <c r="B3" s="645" t="s">
        <v>157</v>
      </c>
      <c r="C3" s="645" t="s">
        <v>180</v>
      </c>
      <c r="D3" s="656" t="s">
        <v>4</v>
      </c>
      <c r="E3" s="656"/>
      <c r="F3" s="656" t="s">
        <v>181</v>
      </c>
      <c r="G3" s="656" t="s">
        <v>4</v>
      </c>
      <c r="H3" s="656"/>
      <c r="I3" s="656"/>
      <c r="J3" s="656"/>
    </row>
    <row r="4" spans="1:10" s="2" customFormat="1" ht="20.25" customHeight="1">
      <c r="A4" s="646"/>
      <c r="B4" s="646"/>
      <c r="C4" s="646"/>
      <c r="D4" s="656" t="s">
        <v>182</v>
      </c>
      <c r="E4" s="656" t="s">
        <v>183</v>
      </c>
      <c r="F4" s="656"/>
      <c r="G4" s="656" t="s">
        <v>184</v>
      </c>
      <c r="H4" s="656" t="s">
        <v>185</v>
      </c>
      <c r="I4" s="656" t="s">
        <v>186</v>
      </c>
      <c r="J4" s="656" t="s">
        <v>187</v>
      </c>
    </row>
    <row r="5" spans="1:10" s="2" customFormat="1" ht="20.25" customHeight="1">
      <c r="A5" s="646"/>
      <c r="B5" s="646"/>
      <c r="C5" s="646"/>
      <c r="D5" s="656"/>
      <c r="E5" s="656"/>
      <c r="F5" s="656"/>
      <c r="G5" s="656"/>
      <c r="H5" s="656"/>
      <c r="I5" s="656"/>
      <c r="J5" s="656"/>
    </row>
    <row r="6" spans="1:10" s="2" customFormat="1" ht="20.25" customHeight="1">
      <c r="A6" s="646"/>
      <c r="B6" s="646"/>
      <c r="C6" s="646"/>
      <c r="D6" s="656"/>
      <c r="E6" s="656"/>
      <c r="F6" s="656"/>
      <c r="G6" s="656"/>
      <c r="H6" s="656"/>
      <c r="I6" s="656"/>
      <c r="J6" s="656"/>
    </row>
    <row r="7" spans="1:10" s="108" customFormat="1" ht="17.25" customHeight="1">
      <c r="A7" s="647"/>
      <c r="B7" s="647"/>
      <c r="C7" s="646"/>
      <c r="D7" s="656"/>
      <c r="E7" s="656"/>
      <c r="F7" s="656"/>
      <c r="G7" s="656"/>
      <c r="H7" s="656"/>
      <c r="I7" s="656"/>
      <c r="J7" s="656"/>
    </row>
    <row r="8" spans="1:10" ht="15.75" customHeight="1">
      <c r="A8" s="657" t="s">
        <v>3</v>
      </c>
      <c r="B8" s="658"/>
      <c r="C8" s="109">
        <v>1</v>
      </c>
      <c r="D8" s="109" t="s">
        <v>14</v>
      </c>
      <c r="E8" s="109" t="s">
        <v>19</v>
      </c>
      <c r="F8" s="109" t="s">
        <v>22</v>
      </c>
      <c r="G8" s="109" t="s">
        <v>23</v>
      </c>
      <c r="H8" s="109" t="s">
        <v>24</v>
      </c>
      <c r="I8" s="109" t="s">
        <v>25</v>
      </c>
      <c r="J8" s="109" t="s">
        <v>26</v>
      </c>
    </row>
    <row r="9" spans="1:10" s="283" customFormat="1" ht="24.75" customHeight="1">
      <c r="A9" s="659" t="s">
        <v>10</v>
      </c>
      <c r="B9" s="660"/>
      <c r="C9" s="406">
        <f>C10+C11</f>
        <v>93</v>
      </c>
      <c r="D9" s="406">
        <f aca="true" t="shared" si="0" ref="D9:J9">D10+D11</f>
        <v>76</v>
      </c>
      <c r="E9" s="406">
        <f t="shared" si="0"/>
        <v>17</v>
      </c>
      <c r="F9" s="406">
        <f t="shared" si="0"/>
        <v>93</v>
      </c>
      <c r="G9" s="406">
        <f t="shared" si="0"/>
        <v>15</v>
      </c>
      <c r="H9" s="406">
        <f t="shared" si="0"/>
        <v>71</v>
      </c>
      <c r="I9" s="415">
        <v>0</v>
      </c>
      <c r="J9" s="419">
        <f t="shared" si="0"/>
        <v>7</v>
      </c>
    </row>
    <row r="10" spans="1:10" s="283" customFormat="1" ht="24.75" customHeight="1">
      <c r="A10" s="290" t="s">
        <v>0</v>
      </c>
      <c r="B10" s="291" t="s">
        <v>28</v>
      </c>
      <c r="C10" s="406">
        <f>D10+E10</f>
        <v>6</v>
      </c>
      <c r="D10" s="423">
        <v>6</v>
      </c>
      <c r="E10" s="423">
        <v>0</v>
      </c>
      <c r="F10" s="331">
        <f>G10+H10+I10+J10</f>
        <v>6</v>
      </c>
      <c r="G10" s="423">
        <v>2</v>
      </c>
      <c r="H10" s="331">
        <v>4</v>
      </c>
      <c r="I10" s="416">
        <v>0</v>
      </c>
      <c r="J10" s="418">
        <v>0</v>
      </c>
    </row>
    <row r="11" spans="1:10" s="283" customFormat="1" ht="24.75" customHeight="1">
      <c r="A11" s="292" t="s">
        <v>1</v>
      </c>
      <c r="B11" s="291" t="s">
        <v>8</v>
      </c>
      <c r="C11" s="406">
        <f>SUM(C12:C18)</f>
        <v>87</v>
      </c>
      <c r="D11" s="331">
        <f aca="true" t="shared" si="1" ref="D11:J11">SUM(D12:D18)</f>
        <v>70</v>
      </c>
      <c r="E11" s="420">
        <f t="shared" si="1"/>
        <v>17</v>
      </c>
      <c r="F11" s="331">
        <f t="shared" si="1"/>
        <v>87</v>
      </c>
      <c r="G11" s="331">
        <f t="shared" si="1"/>
        <v>13</v>
      </c>
      <c r="H11" s="331">
        <f t="shared" si="1"/>
        <v>67</v>
      </c>
      <c r="I11" s="416">
        <v>0</v>
      </c>
      <c r="J11" s="420">
        <f t="shared" si="1"/>
        <v>7</v>
      </c>
    </row>
    <row r="12" spans="1:10" s="283" customFormat="1" ht="24.75" customHeight="1">
      <c r="A12" s="293" t="s">
        <v>13</v>
      </c>
      <c r="B12" s="294" t="s">
        <v>429</v>
      </c>
      <c r="C12" s="406">
        <f aca="true" t="shared" si="2" ref="C12:C18">D12+E12</f>
        <v>33</v>
      </c>
      <c r="D12" s="331">
        <v>31</v>
      </c>
      <c r="E12" s="423">
        <v>2</v>
      </c>
      <c r="F12" s="332">
        <f>G12+H12+I12+J12</f>
        <v>33</v>
      </c>
      <c r="G12" s="423">
        <v>1</v>
      </c>
      <c r="H12" s="331">
        <v>30</v>
      </c>
      <c r="I12" s="416">
        <v>0</v>
      </c>
      <c r="J12" s="418">
        <v>2</v>
      </c>
    </row>
    <row r="13" spans="1:10" s="283" customFormat="1" ht="24.75" customHeight="1">
      <c r="A13" s="293" t="s">
        <v>14</v>
      </c>
      <c r="B13" s="294" t="s">
        <v>345</v>
      </c>
      <c r="C13" s="406">
        <f t="shared" si="2"/>
        <v>10</v>
      </c>
      <c r="D13" s="331">
        <v>5</v>
      </c>
      <c r="E13" s="420">
        <v>5</v>
      </c>
      <c r="F13" s="332">
        <f>G13+H13+I13+J13</f>
        <v>10</v>
      </c>
      <c r="G13" s="420">
        <v>5</v>
      </c>
      <c r="H13" s="331">
        <v>5</v>
      </c>
      <c r="I13" s="416">
        <v>0</v>
      </c>
      <c r="J13" s="421">
        <v>0</v>
      </c>
    </row>
    <row r="14" spans="1:10" s="283" customFormat="1" ht="24.75" customHeight="1">
      <c r="A14" s="293" t="s">
        <v>19</v>
      </c>
      <c r="B14" s="294" t="s">
        <v>346</v>
      </c>
      <c r="C14" s="406">
        <f t="shared" si="2"/>
        <v>14</v>
      </c>
      <c r="D14" s="332">
        <v>7</v>
      </c>
      <c r="E14" s="422">
        <v>7</v>
      </c>
      <c r="F14" s="332">
        <f>G14+H14+I14+J14</f>
        <v>14</v>
      </c>
      <c r="G14" s="422"/>
      <c r="H14" s="422">
        <v>10</v>
      </c>
      <c r="I14" s="417">
        <v>0</v>
      </c>
      <c r="J14" s="421">
        <v>4</v>
      </c>
    </row>
    <row r="15" spans="1:10" s="283" customFormat="1" ht="24.75" customHeight="1">
      <c r="A15" s="293" t="s">
        <v>22</v>
      </c>
      <c r="B15" s="294" t="s">
        <v>347</v>
      </c>
      <c r="C15" s="406">
        <f t="shared" si="2"/>
        <v>12</v>
      </c>
      <c r="D15" s="332">
        <v>10</v>
      </c>
      <c r="E15" s="422">
        <v>2</v>
      </c>
      <c r="F15" s="332">
        <f>G15+H15+I15+J15</f>
        <v>12</v>
      </c>
      <c r="G15" s="409">
        <v>4</v>
      </c>
      <c r="H15" s="332">
        <v>7</v>
      </c>
      <c r="I15" s="417">
        <v>0</v>
      </c>
      <c r="J15" s="421">
        <v>1</v>
      </c>
    </row>
    <row r="16" spans="1:10" s="283" customFormat="1" ht="24.75" customHeight="1">
      <c r="A16" s="293" t="s">
        <v>23</v>
      </c>
      <c r="B16" s="294" t="s">
        <v>348</v>
      </c>
      <c r="C16" s="433">
        <f t="shared" si="2"/>
        <v>8</v>
      </c>
      <c r="D16" s="422">
        <v>8</v>
      </c>
      <c r="E16" s="422"/>
      <c r="F16" s="422">
        <f>G16+H16+I16+J16</f>
        <v>8</v>
      </c>
      <c r="G16" s="422"/>
      <c r="H16" s="422">
        <v>8</v>
      </c>
      <c r="I16" s="417">
        <v>0</v>
      </c>
      <c r="J16" s="418">
        <v>0</v>
      </c>
    </row>
    <row r="17" spans="1:10" s="283" customFormat="1" ht="24.75" customHeight="1">
      <c r="A17" s="293" t="s">
        <v>24</v>
      </c>
      <c r="B17" s="294" t="s">
        <v>401</v>
      </c>
      <c r="C17" s="406">
        <f t="shared" si="2"/>
        <v>8</v>
      </c>
      <c r="D17" s="332">
        <v>8</v>
      </c>
      <c r="E17" s="422"/>
      <c r="F17" s="332">
        <f>G17+H17+I17+J17</f>
        <v>8</v>
      </c>
      <c r="G17" s="422">
        <v>2</v>
      </c>
      <c r="H17" s="332">
        <v>6</v>
      </c>
      <c r="I17" s="417">
        <v>0</v>
      </c>
      <c r="J17" s="418">
        <v>0</v>
      </c>
    </row>
    <row r="18" spans="1:10" s="283" customFormat="1" ht="24.75" customHeight="1">
      <c r="A18" s="293" t="s">
        <v>25</v>
      </c>
      <c r="B18" s="294" t="s">
        <v>350</v>
      </c>
      <c r="C18" s="406">
        <f t="shared" si="2"/>
        <v>2</v>
      </c>
      <c r="D18" s="332">
        <v>1</v>
      </c>
      <c r="E18" s="422">
        <v>1</v>
      </c>
      <c r="F18" s="332">
        <f>G18+H18+I18+J18</f>
        <v>2</v>
      </c>
      <c r="G18" s="422">
        <v>1</v>
      </c>
      <c r="H18" s="332">
        <v>1</v>
      </c>
      <c r="I18" s="417">
        <v>0</v>
      </c>
      <c r="J18" s="418">
        <v>0</v>
      </c>
    </row>
    <row r="19" spans="1:10" ht="22.5" customHeight="1">
      <c r="A19" s="6"/>
      <c r="B19" s="651" t="str">
        <f>TT!C7</f>
        <v>Tuyên Quang, ngày 4 tháng 5 năm 2022</v>
      </c>
      <c r="C19" s="651"/>
      <c r="D19" s="651"/>
      <c r="E19" s="279"/>
      <c r="F19" s="104"/>
      <c r="G19" s="651" t="str">
        <f>TT!C4</f>
        <v>Tuyên Quang, ngày 4 tháng 5 năm 2022</v>
      </c>
      <c r="H19" s="651"/>
      <c r="I19" s="651"/>
      <c r="J19" s="651"/>
    </row>
    <row r="20" spans="1:10" ht="16.5">
      <c r="A20" s="6"/>
      <c r="B20" s="643" t="s">
        <v>290</v>
      </c>
      <c r="C20" s="643"/>
      <c r="D20" s="643"/>
      <c r="E20" s="280"/>
      <c r="F20" s="280"/>
      <c r="G20" s="643" t="str">
        <f>TT!C5</f>
        <v>CỤC TRƯỞNG</v>
      </c>
      <c r="H20" s="643"/>
      <c r="I20" s="643"/>
      <c r="J20" s="643"/>
    </row>
    <row r="21" spans="2:10" ht="25.5" customHeight="1">
      <c r="B21" s="281"/>
      <c r="C21" s="281"/>
      <c r="D21" s="282"/>
      <c r="E21" s="282"/>
      <c r="F21" s="282"/>
      <c r="G21" s="281"/>
      <c r="H21" s="281"/>
      <c r="I21" s="281"/>
      <c r="J21" s="281"/>
    </row>
    <row r="22" spans="2:10" ht="16.5">
      <c r="B22" s="281"/>
      <c r="C22" s="281"/>
      <c r="D22" s="282"/>
      <c r="E22" s="282"/>
      <c r="F22" s="282"/>
      <c r="G22" s="281"/>
      <c r="H22" s="281"/>
      <c r="I22" s="281"/>
      <c r="J22" s="281"/>
    </row>
    <row r="23" spans="2:10" ht="16.5">
      <c r="B23" s="281"/>
      <c r="C23" s="281"/>
      <c r="D23" s="282"/>
      <c r="E23" s="282"/>
      <c r="F23" s="282"/>
      <c r="G23" s="281"/>
      <c r="H23" s="281"/>
      <c r="I23" s="281"/>
      <c r="J23" s="281"/>
    </row>
    <row r="24" spans="2:10" ht="16.5">
      <c r="B24" s="644" t="str">
        <f>TT!C6</f>
        <v>Hà Thị Mai</v>
      </c>
      <c r="C24" s="644"/>
      <c r="D24" s="644"/>
      <c r="E24" s="282"/>
      <c r="F24" s="282"/>
      <c r="G24" s="644" t="str">
        <f>TT!C3</f>
        <v>Nguyễn Tuyên</v>
      </c>
      <c r="H24" s="644"/>
      <c r="I24" s="644"/>
      <c r="J24" s="644"/>
    </row>
  </sheetData>
  <sheetProtection formatCells="0" formatColumns="0" formatRows="0" insertRows="0" deleteRows="0"/>
  <mergeCells count="24">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 ref="G20:J20"/>
    <mergeCell ref="G24:J24"/>
    <mergeCell ref="B20:D20"/>
    <mergeCell ref="B24:D24"/>
    <mergeCell ref="A8:B8"/>
    <mergeCell ref="A9:B9"/>
    <mergeCell ref="B19:D19"/>
    <mergeCell ref="G19:J19"/>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45"/>
  <sheetViews>
    <sheetView zoomScaleSheetLayoutView="100" zoomScalePageLayoutView="0" workbookViewId="0" topLeftCell="A7">
      <selection activeCell="T18" sqref="T18"/>
    </sheetView>
  </sheetViews>
  <sheetFormatPr defaultColWidth="9.00390625" defaultRowHeight="15.75"/>
  <cols>
    <col min="1" max="1" width="5.00390625" style="3" customWidth="1"/>
    <col min="2" max="2" width="24.375" style="3" customWidth="1"/>
    <col min="3" max="3" width="6.00390625" style="393" customWidth="1"/>
    <col min="4" max="4" width="5.375" style="3" customWidth="1"/>
    <col min="5" max="5" width="4.625" style="3" customWidth="1"/>
    <col min="6" max="6" width="5.75390625" style="3" customWidth="1"/>
    <col min="7" max="7" width="4.875" style="3" customWidth="1"/>
    <col min="8" max="8" width="6.125" style="3" customWidth="1"/>
    <col min="9" max="9" width="5.25390625" style="3" customWidth="1"/>
    <col min="10" max="10" width="5.75390625" style="3" customWidth="1"/>
    <col min="11" max="11" width="6.375" style="3" customWidth="1"/>
    <col min="12" max="13" width="6.25390625" style="3" customWidth="1"/>
    <col min="14" max="15" width="5.125" style="3" customWidth="1"/>
    <col min="16" max="16" width="4.25390625" style="3" customWidth="1"/>
    <col min="17" max="17" width="6.625" style="3" customWidth="1"/>
    <col min="18" max="18" width="4.75390625" style="3" customWidth="1"/>
    <col min="19" max="19" width="4.375" style="3" customWidth="1"/>
    <col min="20" max="20" width="5.875" style="3" customWidth="1"/>
    <col min="21" max="21" width="5.00390625" style="3" customWidth="1"/>
    <col min="22" max="22" width="5.875" style="3" customWidth="1"/>
    <col min="23" max="23" width="5.75390625" style="3" customWidth="1"/>
    <col min="24" max="16384" width="9.00390625" style="3" customWidth="1"/>
  </cols>
  <sheetData>
    <row r="1" spans="1:23" ht="67.5" customHeight="1">
      <c r="A1" s="532" t="s">
        <v>332</v>
      </c>
      <c r="B1" s="532"/>
      <c r="C1" s="532"/>
      <c r="D1" s="532"/>
      <c r="E1" s="532"/>
      <c r="F1" s="487" t="s">
        <v>439</v>
      </c>
      <c r="G1" s="487"/>
      <c r="H1" s="487"/>
      <c r="I1" s="487"/>
      <c r="J1" s="487"/>
      <c r="K1" s="487"/>
      <c r="L1" s="487"/>
      <c r="M1" s="487"/>
      <c r="N1" s="487"/>
      <c r="O1" s="487"/>
      <c r="P1" s="487"/>
      <c r="Q1" s="487"/>
      <c r="R1" s="508" t="str">
        <f>TT!C2</f>
        <v>Đơn vị  báo cáo: 
Cục Thi hành án dân sự tỉnh Tuyên Quang
Đơn vị nhận báo cáo: Tổng cục Thi hành án dân sự</v>
      </c>
      <c r="S1" s="508"/>
      <c r="T1" s="508"/>
      <c r="U1" s="508"/>
      <c r="V1" s="508"/>
      <c r="W1" s="508"/>
    </row>
    <row r="2" spans="1:23" ht="15" customHeight="1">
      <c r="A2" s="110"/>
      <c r="B2" s="110"/>
      <c r="C2" s="390"/>
      <c r="D2" s="110"/>
      <c r="E2" s="111"/>
      <c r="F2" s="111"/>
      <c r="G2" s="112"/>
      <c r="H2" s="112"/>
      <c r="I2" s="112"/>
      <c r="J2" s="112"/>
      <c r="K2" s="112"/>
      <c r="L2" s="113"/>
      <c r="M2" s="113"/>
      <c r="N2" s="114"/>
      <c r="O2" s="112"/>
      <c r="P2" s="112"/>
      <c r="Q2" s="111"/>
      <c r="R2" s="676" t="s">
        <v>188</v>
      </c>
      <c r="S2" s="676"/>
      <c r="T2" s="676"/>
      <c r="U2" s="676"/>
      <c r="V2" s="676"/>
      <c r="W2" s="676"/>
    </row>
    <row r="3" spans="1:23" s="6" customFormat="1" ht="15.75" customHeight="1">
      <c r="A3" s="670" t="s">
        <v>136</v>
      </c>
      <c r="B3" s="664" t="s">
        <v>21</v>
      </c>
      <c r="C3" s="677" t="s">
        <v>189</v>
      </c>
      <c r="D3" s="670" t="s">
        <v>190</v>
      </c>
      <c r="E3" s="679" t="s">
        <v>312</v>
      </c>
      <c r="F3" s="680"/>
      <c r="G3" s="680"/>
      <c r="H3" s="680"/>
      <c r="I3" s="680"/>
      <c r="J3" s="680"/>
      <c r="K3" s="680"/>
      <c r="L3" s="680"/>
      <c r="M3" s="680"/>
      <c r="N3" s="680"/>
      <c r="O3" s="680"/>
      <c r="P3" s="680"/>
      <c r="Q3" s="681"/>
      <c r="R3" s="669" t="s">
        <v>191</v>
      </c>
      <c r="S3" s="669"/>
      <c r="T3" s="669"/>
      <c r="U3" s="669"/>
      <c r="V3" s="669"/>
      <c r="W3" s="669"/>
    </row>
    <row r="4" spans="1:24" s="6" customFormat="1" ht="15" customHeight="1">
      <c r="A4" s="671"/>
      <c r="B4" s="665"/>
      <c r="C4" s="678"/>
      <c r="D4" s="671"/>
      <c r="E4" s="669" t="s">
        <v>192</v>
      </c>
      <c r="F4" s="669"/>
      <c r="G4" s="669"/>
      <c r="H4" s="679" t="s">
        <v>193</v>
      </c>
      <c r="I4" s="680"/>
      <c r="J4" s="680"/>
      <c r="K4" s="680"/>
      <c r="L4" s="680"/>
      <c r="M4" s="680"/>
      <c r="N4" s="680"/>
      <c r="O4" s="680"/>
      <c r="P4" s="680"/>
      <c r="Q4" s="681"/>
      <c r="R4" s="669" t="s">
        <v>10</v>
      </c>
      <c r="S4" s="669" t="s">
        <v>4</v>
      </c>
      <c r="T4" s="669"/>
      <c r="U4" s="669"/>
      <c r="V4" s="669"/>
      <c r="W4" s="669"/>
      <c r="X4" s="6" t="s">
        <v>2</v>
      </c>
    </row>
    <row r="5" spans="1:23" s="6" customFormat="1" ht="19.5" customHeight="1">
      <c r="A5" s="671"/>
      <c r="B5" s="665"/>
      <c r="C5" s="678"/>
      <c r="D5" s="671"/>
      <c r="E5" s="669"/>
      <c r="F5" s="669"/>
      <c r="G5" s="669"/>
      <c r="H5" s="682" t="s">
        <v>296</v>
      </c>
      <c r="I5" s="674" t="s">
        <v>4</v>
      </c>
      <c r="J5" s="675"/>
      <c r="K5" s="675"/>
      <c r="L5" s="675"/>
      <c r="M5" s="675"/>
      <c r="N5" s="675"/>
      <c r="O5" s="675"/>
      <c r="P5" s="664"/>
      <c r="Q5" s="670" t="s">
        <v>194</v>
      </c>
      <c r="R5" s="669"/>
      <c r="S5" s="669" t="s">
        <v>311</v>
      </c>
      <c r="T5" s="669" t="s">
        <v>195</v>
      </c>
      <c r="U5" s="669" t="s">
        <v>196</v>
      </c>
      <c r="V5" s="669" t="s">
        <v>197</v>
      </c>
      <c r="W5" s="669" t="s">
        <v>198</v>
      </c>
    </row>
    <row r="6" spans="1:25" s="6" customFormat="1" ht="24.75" customHeight="1">
      <c r="A6" s="671"/>
      <c r="B6" s="665"/>
      <c r="C6" s="678"/>
      <c r="D6" s="671"/>
      <c r="E6" s="669" t="s">
        <v>10</v>
      </c>
      <c r="F6" s="669" t="s">
        <v>4</v>
      </c>
      <c r="G6" s="669"/>
      <c r="H6" s="683"/>
      <c r="I6" s="669" t="s">
        <v>199</v>
      </c>
      <c r="J6" s="669"/>
      <c r="K6" s="669"/>
      <c r="L6" s="669" t="s">
        <v>200</v>
      </c>
      <c r="M6" s="669"/>
      <c r="N6" s="669"/>
      <c r="O6" s="669" t="s">
        <v>201</v>
      </c>
      <c r="P6" s="669" t="s">
        <v>202</v>
      </c>
      <c r="Q6" s="671"/>
      <c r="R6" s="669"/>
      <c r="S6" s="672"/>
      <c r="T6" s="669"/>
      <c r="U6" s="669"/>
      <c r="V6" s="669"/>
      <c r="W6" s="669"/>
      <c r="Y6" s="7"/>
    </row>
    <row r="7" spans="1:25" s="6" customFormat="1" ht="88.5" customHeight="1">
      <c r="A7" s="684"/>
      <c r="B7" s="666"/>
      <c r="C7" s="678"/>
      <c r="D7" s="671"/>
      <c r="E7" s="670"/>
      <c r="F7" s="355" t="s">
        <v>203</v>
      </c>
      <c r="G7" s="355" t="s">
        <v>204</v>
      </c>
      <c r="H7" s="683"/>
      <c r="I7" s="355" t="s">
        <v>205</v>
      </c>
      <c r="J7" s="355" t="s">
        <v>206</v>
      </c>
      <c r="K7" s="355" t="s">
        <v>207</v>
      </c>
      <c r="L7" s="355" t="s">
        <v>208</v>
      </c>
      <c r="M7" s="355" t="s">
        <v>209</v>
      </c>
      <c r="N7" s="355" t="s">
        <v>210</v>
      </c>
      <c r="O7" s="670"/>
      <c r="P7" s="670"/>
      <c r="Q7" s="671"/>
      <c r="R7" s="670"/>
      <c r="S7" s="673"/>
      <c r="T7" s="670"/>
      <c r="U7" s="670"/>
      <c r="V7" s="670"/>
      <c r="W7" s="670"/>
      <c r="Y7" s="7"/>
    </row>
    <row r="8" spans="1:31" ht="19.5" customHeight="1">
      <c r="A8" s="115"/>
      <c r="B8" s="116" t="s">
        <v>211</v>
      </c>
      <c r="C8" s="301">
        <v>1</v>
      </c>
      <c r="D8" s="301">
        <v>2</v>
      </c>
      <c r="E8" s="300">
        <v>3</v>
      </c>
      <c r="F8" s="301">
        <v>4</v>
      </c>
      <c r="G8" s="300">
        <v>5</v>
      </c>
      <c r="H8" s="301">
        <v>6</v>
      </c>
      <c r="I8" s="300">
        <v>7</v>
      </c>
      <c r="J8" s="301">
        <v>8</v>
      </c>
      <c r="K8" s="300">
        <v>9</v>
      </c>
      <c r="L8" s="301">
        <v>10</v>
      </c>
      <c r="M8" s="300">
        <v>11</v>
      </c>
      <c r="N8" s="301">
        <v>12</v>
      </c>
      <c r="O8" s="300">
        <v>13</v>
      </c>
      <c r="P8" s="301">
        <v>14</v>
      </c>
      <c r="Q8" s="300">
        <v>15</v>
      </c>
      <c r="R8" s="301">
        <v>16</v>
      </c>
      <c r="S8" s="300">
        <v>17</v>
      </c>
      <c r="T8" s="301">
        <v>18</v>
      </c>
      <c r="U8" s="300">
        <v>19</v>
      </c>
      <c r="V8" s="301">
        <v>20</v>
      </c>
      <c r="W8" s="300">
        <v>21</v>
      </c>
      <c r="X8" s="117"/>
      <c r="Y8" s="118"/>
      <c r="Z8" s="118"/>
      <c r="AA8" s="118"/>
      <c r="AB8" s="118"/>
      <c r="AC8" s="118"/>
      <c r="AD8" s="118"/>
      <c r="AE8" s="118"/>
    </row>
    <row r="9" spans="1:31" s="283" customFormat="1" ht="16.5" customHeight="1">
      <c r="A9" s="303" t="s">
        <v>0</v>
      </c>
      <c r="B9" s="304" t="s">
        <v>212</v>
      </c>
      <c r="C9" s="435">
        <v>5</v>
      </c>
      <c r="D9" s="435"/>
      <c r="E9" s="435">
        <v>5</v>
      </c>
      <c r="F9" s="435"/>
      <c r="G9" s="436">
        <v>5</v>
      </c>
      <c r="H9" s="437">
        <v>5</v>
      </c>
      <c r="I9" s="435"/>
      <c r="J9" s="435"/>
      <c r="K9" s="435"/>
      <c r="L9" s="436">
        <v>2</v>
      </c>
      <c r="M9" s="438"/>
      <c r="N9" s="435">
        <v>1</v>
      </c>
      <c r="O9" s="438">
        <v>1</v>
      </c>
      <c r="P9" s="438">
        <v>1</v>
      </c>
      <c r="Q9" s="439"/>
      <c r="R9" s="437">
        <v>5</v>
      </c>
      <c r="S9" s="438"/>
      <c r="T9" s="438"/>
      <c r="U9" s="438">
        <v>1</v>
      </c>
      <c r="V9" s="436">
        <v>4</v>
      </c>
      <c r="W9" s="438"/>
      <c r="X9" s="308"/>
      <c r="Y9" s="309"/>
      <c r="Z9" s="309"/>
      <c r="AA9" s="309"/>
      <c r="AB9" s="309"/>
      <c r="AC9" s="309"/>
      <c r="AD9" s="309"/>
      <c r="AE9" s="309"/>
    </row>
    <row r="10" spans="1:31" s="283" customFormat="1" ht="16.5" customHeight="1">
      <c r="A10" s="303" t="s">
        <v>1</v>
      </c>
      <c r="B10" s="304" t="s">
        <v>213</v>
      </c>
      <c r="C10" s="388">
        <v>1</v>
      </c>
      <c r="D10" s="388"/>
      <c r="E10" s="388">
        <v>1</v>
      </c>
      <c r="F10" s="388"/>
      <c r="G10" s="306">
        <v>1</v>
      </c>
      <c r="H10" s="305">
        <v>1</v>
      </c>
      <c r="I10" s="388"/>
      <c r="J10" s="388"/>
      <c r="K10" s="388"/>
      <c r="L10" s="306"/>
      <c r="M10" s="394"/>
      <c r="N10" s="388"/>
      <c r="O10" s="394">
        <v>1</v>
      </c>
      <c r="P10" s="394"/>
      <c r="Q10" s="395"/>
      <c r="R10" s="305">
        <v>1</v>
      </c>
      <c r="S10" s="394">
        <v>1</v>
      </c>
      <c r="T10" s="394"/>
      <c r="U10" s="394"/>
      <c r="V10" s="306"/>
      <c r="W10" s="394"/>
      <c r="X10" s="308"/>
      <c r="Y10" s="309"/>
      <c r="Z10" s="309"/>
      <c r="AA10" s="309"/>
      <c r="AB10" s="309"/>
      <c r="AC10" s="309"/>
      <c r="AD10" s="309"/>
      <c r="AE10" s="309"/>
    </row>
    <row r="11" spans="1:31" s="283" customFormat="1" ht="16.5" customHeight="1">
      <c r="A11" s="310" t="s">
        <v>13</v>
      </c>
      <c r="B11" s="311" t="s">
        <v>214</v>
      </c>
      <c r="C11" s="388">
        <v>2</v>
      </c>
      <c r="D11" s="388"/>
      <c r="E11" s="305">
        <v>2</v>
      </c>
      <c r="F11" s="388"/>
      <c r="G11" s="306">
        <v>2</v>
      </c>
      <c r="H11" s="305">
        <v>2</v>
      </c>
      <c r="I11" s="305"/>
      <c r="J11" s="305"/>
      <c r="K11" s="305"/>
      <c r="L11" s="306">
        <v>1</v>
      </c>
      <c r="M11" s="306"/>
      <c r="N11" s="305">
        <v>1</v>
      </c>
      <c r="O11" s="306"/>
      <c r="P11" s="306"/>
      <c r="Q11" s="307"/>
      <c r="R11" s="305">
        <v>2</v>
      </c>
      <c r="S11" s="306"/>
      <c r="T11" s="306"/>
      <c r="U11" s="306"/>
      <c r="V11" s="306">
        <v>2</v>
      </c>
      <c r="W11" s="394"/>
      <c r="X11" s="308"/>
      <c r="Y11" s="309"/>
      <c r="Z11" s="309"/>
      <c r="AA11" s="309"/>
      <c r="AB11" s="309"/>
      <c r="AC11" s="309"/>
      <c r="AD11" s="309"/>
      <c r="AE11" s="309"/>
    </row>
    <row r="12" spans="1:31" s="283" customFormat="1" ht="16.5" customHeight="1">
      <c r="A12" s="312" t="s">
        <v>15</v>
      </c>
      <c r="B12" s="313" t="s">
        <v>215</v>
      </c>
      <c r="C12" s="388">
        <v>2</v>
      </c>
      <c r="D12" s="389"/>
      <c r="E12" s="314">
        <v>2</v>
      </c>
      <c r="F12" s="389"/>
      <c r="G12" s="232">
        <v>2</v>
      </c>
      <c r="H12" s="314">
        <v>2</v>
      </c>
      <c r="I12" s="314"/>
      <c r="J12" s="314"/>
      <c r="K12" s="314"/>
      <c r="L12" s="383">
        <v>1</v>
      </c>
      <c r="M12" s="383"/>
      <c r="N12" s="314">
        <v>1</v>
      </c>
      <c r="O12" s="383"/>
      <c r="P12" s="383"/>
      <c r="Q12" s="383"/>
      <c r="R12" s="314">
        <v>2</v>
      </c>
      <c r="S12" s="383"/>
      <c r="T12" s="383"/>
      <c r="U12" s="383"/>
      <c r="V12" s="383">
        <v>2</v>
      </c>
      <c r="W12" s="396"/>
      <c r="X12" s="308"/>
      <c r="Y12" s="309"/>
      <c r="Z12" s="309"/>
      <c r="AA12" s="309"/>
      <c r="AB12" s="309"/>
      <c r="AC12" s="309"/>
      <c r="AD12" s="309"/>
      <c r="AE12" s="309"/>
    </row>
    <row r="13" spans="1:31" s="283" customFormat="1" ht="16.5" customHeight="1">
      <c r="A13" s="312" t="s">
        <v>16</v>
      </c>
      <c r="B13" s="313" t="s">
        <v>216</v>
      </c>
      <c r="C13" s="388"/>
      <c r="D13" s="389"/>
      <c r="E13" s="389"/>
      <c r="F13" s="389"/>
      <c r="G13" s="232"/>
      <c r="H13" s="314"/>
      <c r="I13" s="314"/>
      <c r="J13" s="314"/>
      <c r="K13" s="314"/>
      <c r="L13" s="383"/>
      <c r="M13" s="383"/>
      <c r="N13" s="314"/>
      <c r="O13" s="383"/>
      <c r="P13" s="383"/>
      <c r="Q13" s="383"/>
      <c r="R13" s="314"/>
      <c r="S13" s="383"/>
      <c r="T13" s="383"/>
      <c r="U13" s="383"/>
      <c r="V13" s="383"/>
      <c r="W13" s="396"/>
      <c r="X13" s="309"/>
      <c r="Y13" s="309"/>
      <c r="Z13" s="309"/>
      <c r="AA13" s="309"/>
      <c r="AB13" s="309"/>
      <c r="AC13" s="309"/>
      <c r="AD13" s="309"/>
      <c r="AE13" s="309"/>
    </row>
    <row r="14" spans="1:31" s="283" customFormat="1" ht="16.5" customHeight="1">
      <c r="A14" s="312" t="s">
        <v>14</v>
      </c>
      <c r="B14" s="311" t="s">
        <v>8</v>
      </c>
      <c r="C14" s="388">
        <v>4</v>
      </c>
      <c r="D14" s="305"/>
      <c r="E14" s="305">
        <v>4</v>
      </c>
      <c r="F14" s="305"/>
      <c r="G14" s="306">
        <v>4</v>
      </c>
      <c r="H14" s="305">
        <v>4</v>
      </c>
      <c r="I14" s="305"/>
      <c r="J14" s="305"/>
      <c r="K14" s="305"/>
      <c r="L14" s="306">
        <v>1</v>
      </c>
      <c r="M14" s="306"/>
      <c r="N14" s="305"/>
      <c r="O14" s="306">
        <v>1</v>
      </c>
      <c r="P14" s="306">
        <v>2</v>
      </c>
      <c r="Q14" s="307"/>
      <c r="R14" s="305">
        <v>4</v>
      </c>
      <c r="S14" s="306"/>
      <c r="T14" s="306"/>
      <c r="U14" s="306">
        <v>2</v>
      </c>
      <c r="V14" s="306">
        <v>2</v>
      </c>
      <c r="W14" s="394"/>
      <c r="X14" s="309"/>
      <c r="Y14" s="309"/>
      <c r="Z14" s="309"/>
      <c r="AA14" s="309"/>
      <c r="AB14" s="309"/>
      <c r="AC14" s="309"/>
      <c r="AD14" s="309"/>
      <c r="AE14" s="309"/>
    </row>
    <row r="15" spans="1:31" s="283" customFormat="1" ht="16.5" customHeight="1">
      <c r="A15" s="379" t="s">
        <v>17</v>
      </c>
      <c r="B15" s="313" t="s">
        <v>215</v>
      </c>
      <c r="C15" s="388">
        <v>3</v>
      </c>
      <c r="D15" s="305"/>
      <c r="E15" s="305">
        <v>3</v>
      </c>
      <c r="F15" s="305"/>
      <c r="G15" s="306">
        <v>3</v>
      </c>
      <c r="H15" s="305">
        <v>3</v>
      </c>
      <c r="I15" s="305"/>
      <c r="J15" s="305"/>
      <c r="K15" s="305"/>
      <c r="L15" s="306">
        <v>1</v>
      </c>
      <c r="M15" s="306"/>
      <c r="N15" s="305"/>
      <c r="O15" s="306"/>
      <c r="P15" s="306">
        <v>1</v>
      </c>
      <c r="Q15" s="307"/>
      <c r="R15" s="305">
        <v>3</v>
      </c>
      <c r="S15" s="306"/>
      <c r="T15" s="306"/>
      <c r="U15" s="306">
        <v>1</v>
      </c>
      <c r="V15" s="306">
        <v>2</v>
      </c>
      <c r="W15" s="394"/>
      <c r="X15" s="309"/>
      <c r="Y15" s="309"/>
      <c r="Z15" s="309"/>
      <c r="AA15" s="309"/>
      <c r="AB15" s="309"/>
      <c r="AC15" s="309"/>
      <c r="AD15" s="309"/>
      <c r="AE15" s="309"/>
    </row>
    <row r="16" spans="1:31" s="316" customFormat="1" ht="16.5" customHeight="1">
      <c r="A16" s="379" t="s">
        <v>18</v>
      </c>
      <c r="B16" s="313" t="s">
        <v>216</v>
      </c>
      <c r="C16" s="388">
        <v>1</v>
      </c>
      <c r="D16" s="305"/>
      <c r="E16" s="305">
        <v>1</v>
      </c>
      <c r="F16" s="305"/>
      <c r="G16" s="306">
        <v>1</v>
      </c>
      <c r="H16" s="305">
        <v>1</v>
      </c>
      <c r="I16" s="305"/>
      <c r="J16" s="305"/>
      <c r="K16" s="305"/>
      <c r="L16" s="306"/>
      <c r="M16" s="306"/>
      <c r="N16" s="305"/>
      <c r="O16" s="306">
        <v>1</v>
      </c>
      <c r="P16" s="306">
        <v>1</v>
      </c>
      <c r="Q16" s="307"/>
      <c r="R16" s="305">
        <v>1</v>
      </c>
      <c r="S16" s="306">
        <v>1</v>
      </c>
      <c r="T16" s="306"/>
      <c r="U16" s="306">
        <v>1</v>
      </c>
      <c r="V16" s="306"/>
      <c r="W16" s="394"/>
      <c r="X16" s="315"/>
      <c r="Y16" s="315"/>
      <c r="Z16" s="315"/>
      <c r="AA16" s="315"/>
      <c r="AB16" s="315"/>
      <c r="AC16" s="315"/>
      <c r="AD16" s="315"/>
      <c r="AE16" s="315"/>
    </row>
    <row r="17" spans="1:31" s="283" customFormat="1" ht="16.5" customHeight="1">
      <c r="A17" s="310" t="s">
        <v>217</v>
      </c>
      <c r="B17" s="311" t="s">
        <v>402</v>
      </c>
      <c r="C17" s="388">
        <v>3</v>
      </c>
      <c r="D17" s="305"/>
      <c r="E17" s="305">
        <v>3</v>
      </c>
      <c r="F17" s="305"/>
      <c r="G17" s="306">
        <v>3</v>
      </c>
      <c r="H17" s="305">
        <v>3</v>
      </c>
      <c r="I17" s="305"/>
      <c r="J17" s="305"/>
      <c r="K17" s="305"/>
      <c r="L17" s="306">
        <v>1</v>
      </c>
      <c r="M17" s="306"/>
      <c r="N17" s="305"/>
      <c r="O17" s="306">
        <v>2</v>
      </c>
      <c r="P17" s="306"/>
      <c r="Q17" s="307"/>
      <c r="R17" s="305">
        <v>3</v>
      </c>
      <c r="S17" s="306">
        <v>1</v>
      </c>
      <c r="T17" s="306"/>
      <c r="U17" s="306"/>
      <c r="V17" s="306">
        <v>2</v>
      </c>
      <c r="W17" s="394"/>
      <c r="X17" s="309"/>
      <c r="Y17" s="309"/>
      <c r="Z17" s="309"/>
      <c r="AA17" s="309"/>
      <c r="AB17" s="309"/>
      <c r="AC17" s="309"/>
      <c r="AD17" s="309"/>
      <c r="AE17" s="309"/>
    </row>
    <row r="18" spans="1:31" s="283" customFormat="1" ht="16.5" customHeight="1">
      <c r="A18" s="317" t="s">
        <v>218</v>
      </c>
      <c r="B18" s="313" t="s">
        <v>215</v>
      </c>
      <c r="C18" s="388">
        <v>2</v>
      </c>
      <c r="D18" s="305"/>
      <c r="E18" s="305">
        <v>2</v>
      </c>
      <c r="F18" s="305"/>
      <c r="G18" s="306">
        <v>2</v>
      </c>
      <c r="H18" s="305">
        <v>2</v>
      </c>
      <c r="I18" s="305"/>
      <c r="J18" s="305"/>
      <c r="K18" s="305"/>
      <c r="L18" s="306">
        <v>1</v>
      </c>
      <c r="M18" s="306"/>
      <c r="N18" s="305"/>
      <c r="O18" s="306">
        <v>1</v>
      </c>
      <c r="P18" s="306"/>
      <c r="Q18" s="307"/>
      <c r="R18" s="305">
        <v>2</v>
      </c>
      <c r="S18" s="306"/>
      <c r="T18" s="306"/>
      <c r="U18" s="306"/>
      <c r="V18" s="306">
        <v>2</v>
      </c>
      <c r="W18" s="394"/>
      <c r="X18" s="309"/>
      <c r="Y18" s="309"/>
      <c r="Z18" s="309"/>
      <c r="AA18" s="309"/>
      <c r="AB18" s="309"/>
      <c r="AC18" s="309"/>
      <c r="AD18" s="309"/>
      <c r="AE18" s="309"/>
    </row>
    <row r="19" spans="1:25" s="316" customFormat="1" ht="16.5" customHeight="1">
      <c r="A19" s="317" t="s">
        <v>219</v>
      </c>
      <c r="B19" s="313" t="s">
        <v>216</v>
      </c>
      <c r="C19" s="388">
        <v>1</v>
      </c>
      <c r="D19" s="305"/>
      <c r="E19" s="305">
        <v>1</v>
      </c>
      <c r="F19" s="305"/>
      <c r="G19" s="306">
        <v>1</v>
      </c>
      <c r="H19" s="305">
        <v>1</v>
      </c>
      <c r="I19" s="305"/>
      <c r="J19" s="305"/>
      <c r="K19" s="305"/>
      <c r="L19" s="306"/>
      <c r="M19" s="306"/>
      <c r="N19" s="305"/>
      <c r="O19" s="306">
        <v>1</v>
      </c>
      <c r="P19" s="306"/>
      <c r="Q19" s="307"/>
      <c r="R19" s="305">
        <v>1</v>
      </c>
      <c r="S19" s="306">
        <v>1</v>
      </c>
      <c r="T19" s="306"/>
      <c r="U19" s="306"/>
      <c r="V19" s="306"/>
      <c r="W19" s="394"/>
      <c r="Y19" s="316" t="s">
        <v>2</v>
      </c>
    </row>
    <row r="20" spans="1:23" s="283" customFormat="1" ht="16.5" customHeight="1">
      <c r="A20" s="310" t="s">
        <v>220</v>
      </c>
      <c r="B20" s="311" t="s">
        <v>345</v>
      </c>
      <c r="C20" s="388"/>
      <c r="D20" s="305"/>
      <c r="E20" s="305"/>
      <c r="F20" s="305"/>
      <c r="G20" s="306"/>
      <c r="H20" s="305"/>
      <c r="I20" s="305"/>
      <c r="J20" s="305"/>
      <c r="K20" s="305"/>
      <c r="L20" s="306"/>
      <c r="M20" s="306"/>
      <c r="N20" s="305"/>
      <c r="O20" s="306"/>
      <c r="P20" s="306"/>
      <c r="Q20" s="307"/>
      <c r="R20" s="305"/>
      <c r="S20" s="306"/>
      <c r="T20" s="306"/>
      <c r="U20" s="306"/>
      <c r="V20" s="306"/>
      <c r="W20" s="394"/>
    </row>
    <row r="21" spans="1:23" s="283" customFormat="1" ht="16.5" customHeight="1">
      <c r="A21" s="317" t="s">
        <v>410</v>
      </c>
      <c r="B21" s="313" t="s">
        <v>215</v>
      </c>
      <c r="C21" s="388"/>
      <c r="D21" s="305"/>
      <c r="E21" s="305"/>
      <c r="F21" s="305"/>
      <c r="G21" s="306"/>
      <c r="H21" s="305"/>
      <c r="I21" s="305"/>
      <c r="J21" s="305"/>
      <c r="K21" s="305"/>
      <c r="L21" s="306"/>
      <c r="M21" s="306"/>
      <c r="N21" s="305"/>
      <c r="O21" s="306"/>
      <c r="P21" s="306"/>
      <c r="Q21" s="307"/>
      <c r="R21" s="305"/>
      <c r="S21" s="306"/>
      <c r="T21" s="306"/>
      <c r="U21" s="306"/>
      <c r="V21" s="306"/>
      <c r="W21" s="394"/>
    </row>
    <row r="22" spans="1:23" s="283" customFormat="1" ht="16.5" customHeight="1">
      <c r="A22" s="317" t="s">
        <v>411</v>
      </c>
      <c r="B22" s="313" t="s">
        <v>216</v>
      </c>
      <c r="C22" s="388"/>
      <c r="D22" s="305"/>
      <c r="E22" s="305"/>
      <c r="F22" s="305"/>
      <c r="G22" s="306"/>
      <c r="H22" s="305"/>
      <c r="I22" s="305"/>
      <c r="J22" s="305"/>
      <c r="K22" s="305"/>
      <c r="L22" s="306"/>
      <c r="M22" s="306"/>
      <c r="N22" s="305"/>
      <c r="O22" s="306"/>
      <c r="P22" s="306"/>
      <c r="Q22" s="307"/>
      <c r="R22" s="305"/>
      <c r="S22" s="306"/>
      <c r="T22" s="306"/>
      <c r="U22" s="306"/>
      <c r="V22" s="306"/>
      <c r="W22" s="394"/>
    </row>
    <row r="23" spans="1:23" s="283" customFormat="1" ht="16.5" customHeight="1">
      <c r="A23" s="310" t="s">
        <v>403</v>
      </c>
      <c r="B23" s="311" t="s">
        <v>346</v>
      </c>
      <c r="C23" s="388">
        <v>1</v>
      </c>
      <c r="D23" s="305"/>
      <c r="E23" s="305">
        <v>1</v>
      </c>
      <c r="F23" s="305"/>
      <c r="G23" s="306">
        <v>1</v>
      </c>
      <c r="H23" s="305">
        <v>1</v>
      </c>
      <c r="I23" s="305"/>
      <c r="J23" s="305"/>
      <c r="K23" s="305"/>
      <c r="L23" s="306"/>
      <c r="M23" s="306"/>
      <c r="N23" s="305"/>
      <c r="O23" s="306"/>
      <c r="P23" s="306">
        <v>1</v>
      </c>
      <c r="Q23" s="307"/>
      <c r="R23" s="305">
        <v>1</v>
      </c>
      <c r="S23" s="306"/>
      <c r="T23" s="306"/>
      <c r="U23" s="306">
        <v>1</v>
      </c>
      <c r="V23" s="306"/>
      <c r="W23" s="394"/>
    </row>
    <row r="24" spans="1:23" s="283" customFormat="1" ht="16.5" customHeight="1">
      <c r="A24" s="317" t="s">
        <v>412</v>
      </c>
      <c r="B24" s="313" t="s">
        <v>215</v>
      </c>
      <c r="C24" s="388">
        <v>1</v>
      </c>
      <c r="D24" s="305"/>
      <c r="E24" s="305">
        <v>1</v>
      </c>
      <c r="F24" s="305"/>
      <c r="G24" s="306">
        <v>1</v>
      </c>
      <c r="H24" s="305">
        <v>1</v>
      </c>
      <c r="I24" s="305"/>
      <c r="J24" s="305"/>
      <c r="K24" s="305"/>
      <c r="L24" s="306"/>
      <c r="M24" s="306"/>
      <c r="N24" s="305"/>
      <c r="O24" s="306"/>
      <c r="P24" s="306">
        <v>1</v>
      </c>
      <c r="Q24" s="307"/>
      <c r="R24" s="305">
        <v>1</v>
      </c>
      <c r="S24" s="306"/>
      <c r="T24" s="306"/>
      <c r="U24" s="306">
        <v>1</v>
      </c>
      <c r="V24" s="306"/>
      <c r="W24" s="394"/>
    </row>
    <row r="25" spans="1:23" s="283" customFormat="1" ht="16.5" customHeight="1">
      <c r="A25" s="317" t="s">
        <v>413</v>
      </c>
      <c r="B25" s="313" t="s">
        <v>216</v>
      </c>
      <c r="C25" s="388"/>
      <c r="D25" s="305"/>
      <c r="E25" s="305"/>
      <c r="F25" s="305"/>
      <c r="G25" s="306"/>
      <c r="H25" s="305"/>
      <c r="I25" s="305"/>
      <c r="J25" s="305"/>
      <c r="K25" s="305"/>
      <c r="L25" s="306"/>
      <c r="M25" s="306"/>
      <c r="N25" s="305"/>
      <c r="O25" s="306"/>
      <c r="P25" s="306"/>
      <c r="Q25" s="307"/>
      <c r="R25" s="305"/>
      <c r="S25" s="306"/>
      <c r="T25" s="306"/>
      <c r="U25" s="306"/>
      <c r="V25" s="306"/>
      <c r="W25" s="394"/>
    </row>
    <row r="26" spans="1:23" s="283" customFormat="1" ht="16.5" customHeight="1">
      <c r="A26" s="310" t="s">
        <v>404</v>
      </c>
      <c r="B26" s="311" t="s">
        <v>347</v>
      </c>
      <c r="C26" s="388"/>
      <c r="D26" s="305"/>
      <c r="E26" s="305"/>
      <c r="F26" s="305"/>
      <c r="G26" s="306"/>
      <c r="H26" s="305"/>
      <c r="I26" s="305"/>
      <c r="J26" s="305"/>
      <c r="K26" s="305"/>
      <c r="L26" s="306"/>
      <c r="M26" s="306"/>
      <c r="N26" s="305"/>
      <c r="O26" s="306"/>
      <c r="P26" s="306"/>
      <c r="Q26" s="307"/>
      <c r="R26" s="305"/>
      <c r="S26" s="306"/>
      <c r="T26" s="306"/>
      <c r="U26" s="306"/>
      <c r="V26" s="306"/>
      <c r="W26" s="394"/>
    </row>
    <row r="27" spans="1:23" s="283" customFormat="1" ht="16.5" customHeight="1">
      <c r="A27" s="317" t="s">
        <v>414</v>
      </c>
      <c r="B27" s="313" t="s">
        <v>215</v>
      </c>
      <c r="C27" s="388"/>
      <c r="D27" s="305"/>
      <c r="E27" s="305"/>
      <c r="F27" s="305"/>
      <c r="G27" s="306"/>
      <c r="H27" s="305"/>
      <c r="I27" s="305"/>
      <c r="J27" s="305"/>
      <c r="K27" s="305"/>
      <c r="L27" s="306"/>
      <c r="M27" s="306"/>
      <c r="N27" s="305"/>
      <c r="O27" s="306"/>
      <c r="P27" s="306"/>
      <c r="Q27" s="307"/>
      <c r="R27" s="305"/>
      <c r="S27" s="306"/>
      <c r="T27" s="306"/>
      <c r="U27" s="306"/>
      <c r="V27" s="306"/>
      <c r="W27" s="394"/>
    </row>
    <row r="28" spans="1:23" s="283" customFormat="1" ht="16.5" customHeight="1">
      <c r="A28" s="317" t="s">
        <v>415</v>
      </c>
      <c r="B28" s="313" t="s">
        <v>216</v>
      </c>
      <c r="C28" s="388"/>
      <c r="D28" s="305"/>
      <c r="E28" s="305"/>
      <c r="F28" s="305"/>
      <c r="G28" s="306"/>
      <c r="H28" s="305"/>
      <c r="I28" s="305"/>
      <c r="J28" s="305"/>
      <c r="K28" s="305"/>
      <c r="L28" s="306"/>
      <c r="M28" s="306"/>
      <c r="N28" s="305"/>
      <c r="O28" s="306"/>
      <c r="P28" s="306"/>
      <c r="Q28" s="307"/>
      <c r="R28" s="305"/>
      <c r="S28" s="306"/>
      <c r="T28" s="306"/>
      <c r="U28" s="306"/>
      <c r="V28" s="306"/>
      <c r="W28" s="394"/>
    </row>
    <row r="29" spans="1:23" s="283" customFormat="1" ht="16.5" customHeight="1">
      <c r="A29" s="310" t="s">
        <v>405</v>
      </c>
      <c r="B29" s="311" t="s">
        <v>348</v>
      </c>
      <c r="C29" s="400"/>
      <c r="D29" s="382"/>
      <c r="E29" s="382"/>
      <c r="F29" s="382"/>
      <c r="G29" s="383"/>
      <c r="H29" s="382"/>
      <c r="I29" s="382"/>
      <c r="J29" s="382"/>
      <c r="K29" s="382"/>
      <c r="L29" s="383"/>
      <c r="M29" s="383"/>
      <c r="N29" s="382"/>
      <c r="O29" s="383"/>
      <c r="P29" s="383"/>
      <c r="Q29" s="383"/>
      <c r="R29" s="382"/>
      <c r="S29" s="383"/>
      <c r="T29" s="383"/>
      <c r="U29" s="383"/>
      <c r="V29" s="383"/>
      <c r="W29" s="396"/>
    </row>
    <row r="30" spans="1:23" s="283" customFormat="1" ht="16.5" customHeight="1">
      <c r="A30" s="317" t="s">
        <v>406</v>
      </c>
      <c r="B30" s="313" t="s">
        <v>215</v>
      </c>
      <c r="C30" s="388"/>
      <c r="D30" s="305"/>
      <c r="E30" s="305"/>
      <c r="F30" s="305"/>
      <c r="G30" s="306"/>
      <c r="H30" s="305"/>
      <c r="I30" s="305"/>
      <c r="J30" s="305"/>
      <c r="K30" s="305"/>
      <c r="L30" s="306"/>
      <c r="M30" s="306"/>
      <c r="N30" s="305"/>
      <c r="O30" s="306"/>
      <c r="P30" s="306"/>
      <c r="Q30" s="307"/>
      <c r="R30" s="305"/>
      <c r="S30" s="306"/>
      <c r="T30" s="306"/>
      <c r="U30" s="306"/>
      <c r="V30" s="306"/>
      <c r="W30" s="394"/>
    </row>
    <row r="31" spans="1:23" s="283" customFormat="1" ht="16.5" customHeight="1">
      <c r="A31" s="317" t="s">
        <v>407</v>
      </c>
      <c r="B31" s="313" t="s">
        <v>216</v>
      </c>
      <c r="C31" s="388"/>
      <c r="D31" s="305"/>
      <c r="E31" s="305"/>
      <c r="F31" s="305"/>
      <c r="G31" s="306"/>
      <c r="H31" s="305"/>
      <c r="I31" s="305"/>
      <c r="J31" s="305"/>
      <c r="K31" s="305"/>
      <c r="L31" s="306"/>
      <c r="M31" s="306"/>
      <c r="N31" s="305"/>
      <c r="O31" s="306"/>
      <c r="P31" s="306"/>
      <c r="Q31" s="307"/>
      <c r="R31" s="305"/>
      <c r="S31" s="306"/>
      <c r="T31" s="306"/>
      <c r="U31" s="306"/>
      <c r="V31" s="306"/>
      <c r="W31" s="394"/>
    </row>
    <row r="32" spans="1:23" s="283" customFormat="1" ht="16.5" customHeight="1">
      <c r="A32" s="310" t="s">
        <v>408</v>
      </c>
      <c r="B32" s="311" t="s">
        <v>401</v>
      </c>
      <c r="C32" s="388"/>
      <c r="D32" s="305"/>
      <c r="E32" s="305"/>
      <c r="F32" s="305"/>
      <c r="G32" s="306"/>
      <c r="H32" s="305"/>
      <c r="I32" s="305"/>
      <c r="J32" s="305"/>
      <c r="K32" s="305"/>
      <c r="L32" s="306"/>
      <c r="M32" s="306"/>
      <c r="N32" s="305"/>
      <c r="O32" s="306"/>
      <c r="P32" s="306"/>
      <c r="Q32" s="307"/>
      <c r="R32" s="305"/>
      <c r="S32" s="306"/>
      <c r="T32" s="306"/>
      <c r="U32" s="306"/>
      <c r="V32" s="306"/>
      <c r="W32" s="394"/>
    </row>
    <row r="33" spans="1:23" s="283" customFormat="1" ht="16.5" customHeight="1">
      <c r="A33" s="317" t="s">
        <v>416</v>
      </c>
      <c r="B33" s="313" t="s">
        <v>215</v>
      </c>
      <c r="C33" s="388"/>
      <c r="D33" s="305"/>
      <c r="E33" s="305"/>
      <c r="F33" s="305"/>
      <c r="G33" s="306"/>
      <c r="H33" s="305"/>
      <c r="I33" s="305"/>
      <c r="J33" s="305"/>
      <c r="K33" s="305"/>
      <c r="L33" s="306"/>
      <c r="M33" s="306"/>
      <c r="N33" s="305"/>
      <c r="O33" s="306"/>
      <c r="P33" s="306"/>
      <c r="Q33" s="307"/>
      <c r="R33" s="305"/>
      <c r="S33" s="306"/>
      <c r="T33" s="306"/>
      <c r="U33" s="306"/>
      <c r="V33" s="306"/>
      <c r="W33" s="394"/>
    </row>
    <row r="34" spans="1:23" s="283" customFormat="1" ht="16.5" customHeight="1">
      <c r="A34" s="317" t="s">
        <v>417</v>
      </c>
      <c r="B34" s="313" t="s">
        <v>216</v>
      </c>
      <c r="C34" s="388"/>
      <c r="D34" s="305"/>
      <c r="E34" s="305"/>
      <c r="F34" s="305"/>
      <c r="G34" s="306"/>
      <c r="H34" s="305"/>
      <c r="I34" s="305"/>
      <c r="J34" s="305"/>
      <c r="K34" s="305"/>
      <c r="L34" s="306"/>
      <c r="M34" s="306"/>
      <c r="N34" s="305"/>
      <c r="O34" s="306"/>
      <c r="P34" s="306"/>
      <c r="Q34" s="307"/>
      <c r="R34" s="305"/>
      <c r="S34" s="306"/>
      <c r="T34" s="306"/>
      <c r="U34" s="306"/>
      <c r="V34" s="306"/>
      <c r="W34" s="394"/>
    </row>
    <row r="35" spans="1:23" s="283" customFormat="1" ht="16.5" customHeight="1">
      <c r="A35" s="310" t="s">
        <v>409</v>
      </c>
      <c r="B35" s="311" t="s">
        <v>350</v>
      </c>
      <c r="C35" s="388"/>
      <c r="D35" s="305"/>
      <c r="E35" s="305"/>
      <c r="F35" s="305"/>
      <c r="G35" s="306"/>
      <c r="H35" s="305"/>
      <c r="I35" s="305"/>
      <c r="J35" s="305"/>
      <c r="K35" s="305"/>
      <c r="L35" s="306"/>
      <c r="M35" s="306"/>
      <c r="N35" s="305"/>
      <c r="O35" s="306"/>
      <c r="P35" s="306"/>
      <c r="Q35" s="307"/>
      <c r="R35" s="305"/>
      <c r="S35" s="306"/>
      <c r="T35" s="306"/>
      <c r="U35" s="306"/>
      <c r="V35" s="306"/>
      <c r="W35" s="394"/>
    </row>
    <row r="36" spans="1:23" s="283" customFormat="1" ht="16.5" customHeight="1">
      <c r="A36" s="317" t="s">
        <v>418</v>
      </c>
      <c r="B36" s="313" t="s">
        <v>215</v>
      </c>
      <c r="C36" s="388"/>
      <c r="D36" s="305"/>
      <c r="E36" s="305"/>
      <c r="F36" s="305"/>
      <c r="G36" s="306"/>
      <c r="H36" s="305"/>
      <c r="I36" s="305"/>
      <c r="J36" s="305"/>
      <c r="K36" s="305"/>
      <c r="L36" s="306"/>
      <c r="M36" s="306"/>
      <c r="N36" s="305"/>
      <c r="O36" s="306"/>
      <c r="P36" s="306"/>
      <c r="Q36" s="307"/>
      <c r="R36" s="305"/>
      <c r="S36" s="306"/>
      <c r="T36" s="306"/>
      <c r="U36" s="306"/>
      <c r="V36" s="306"/>
      <c r="W36" s="394"/>
    </row>
    <row r="37" spans="1:23" s="283" customFormat="1" ht="16.5" customHeight="1">
      <c r="A37" s="317" t="s">
        <v>419</v>
      </c>
      <c r="B37" s="313" t="s">
        <v>216</v>
      </c>
      <c r="C37" s="388"/>
      <c r="D37" s="382"/>
      <c r="E37" s="382"/>
      <c r="F37" s="382"/>
      <c r="G37" s="383"/>
      <c r="H37" s="382"/>
      <c r="I37" s="382"/>
      <c r="J37" s="382"/>
      <c r="K37" s="382"/>
      <c r="L37" s="383"/>
      <c r="M37" s="383"/>
      <c r="N37" s="382"/>
      <c r="O37" s="383"/>
      <c r="P37" s="383"/>
      <c r="Q37" s="383"/>
      <c r="R37" s="382"/>
      <c r="S37" s="383"/>
      <c r="T37" s="383"/>
      <c r="U37" s="383"/>
      <c r="V37" s="383"/>
      <c r="W37" s="396"/>
    </row>
    <row r="38" spans="1:23" s="283" customFormat="1" ht="16.5" customHeight="1">
      <c r="A38" s="384"/>
      <c r="B38" s="385"/>
      <c r="C38" s="391"/>
      <c r="D38" s="386"/>
      <c r="E38" s="386"/>
      <c r="F38" s="386"/>
      <c r="G38" s="387"/>
      <c r="H38" s="386"/>
      <c r="I38" s="386"/>
      <c r="J38" s="386"/>
      <c r="K38" s="386"/>
      <c r="L38" s="387"/>
      <c r="M38" s="387"/>
      <c r="N38" s="386"/>
      <c r="O38" s="387"/>
      <c r="P38" s="387"/>
      <c r="Q38" s="387"/>
      <c r="R38" s="386"/>
      <c r="S38" s="387"/>
      <c r="T38" s="387"/>
      <c r="U38" s="387"/>
      <c r="V38" s="387"/>
      <c r="W38" s="387"/>
    </row>
    <row r="39" spans="1:23" ht="18" customHeight="1">
      <c r="A39" s="380"/>
      <c r="B39" s="663" t="str">
        <f>TT!C7</f>
        <v>Tuyên Quang, ngày 4 tháng 5 năm 2022</v>
      </c>
      <c r="C39" s="663"/>
      <c r="D39" s="663"/>
      <c r="E39" s="663"/>
      <c r="F39" s="663"/>
      <c r="G39" s="663"/>
      <c r="H39" s="381"/>
      <c r="I39" s="381"/>
      <c r="J39" s="381"/>
      <c r="K39" s="319"/>
      <c r="L39" s="320"/>
      <c r="M39" s="320"/>
      <c r="N39" s="319"/>
      <c r="O39" s="320"/>
      <c r="P39" s="667" t="str">
        <f>TT!C4</f>
        <v>Tuyên Quang, ngày 4 tháng 5 năm 2022</v>
      </c>
      <c r="Q39" s="667"/>
      <c r="R39" s="667"/>
      <c r="S39" s="667"/>
      <c r="T39" s="667"/>
      <c r="U39" s="667"/>
      <c r="V39" s="667"/>
      <c r="W39" s="214"/>
    </row>
    <row r="40" spans="1:23" ht="18" customHeight="1">
      <c r="A40" s="126"/>
      <c r="B40" s="643" t="s">
        <v>290</v>
      </c>
      <c r="C40" s="643"/>
      <c r="D40" s="643"/>
      <c r="E40" s="643"/>
      <c r="F40" s="643"/>
      <c r="G40" s="643"/>
      <c r="H40" s="296"/>
      <c r="I40" s="296"/>
      <c r="J40" s="296"/>
      <c r="K40" s="321"/>
      <c r="L40" s="321"/>
      <c r="M40" s="321"/>
      <c r="N40" s="322"/>
      <c r="O40" s="318"/>
      <c r="P40" s="668" t="str">
        <f>TT!C5</f>
        <v>CỤC TRƯỞNG</v>
      </c>
      <c r="Q40" s="668"/>
      <c r="R40" s="668"/>
      <c r="S40" s="668"/>
      <c r="T40" s="668"/>
      <c r="U40" s="668"/>
      <c r="V40" s="668"/>
      <c r="W40" s="318"/>
    </row>
    <row r="41" spans="2:22" ht="18" customHeight="1">
      <c r="B41" s="281"/>
      <c r="C41" s="392"/>
      <c r="D41" s="282"/>
      <c r="E41" s="282"/>
      <c r="F41" s="282"/>
      <c r="G41" s="281"/>
      <c r="H41" s="281"/>
      <c r="I41" s="281"/>
      <c r="J41" s="281"/>
      <c r="K41" s="282"/>
      <c r="L41" s="282"/>
      <c r="M41" s="282"/>
      <c r="N41" s="282"/>
      <c r="O41" s="282"/>
      <c r="P41" s="323"/>
      <c r="Q41" s="323"/>
      <c r="R41" s="323"/>
      <c r="S41" s="323"/>
      <c r="T41" s="323"/>
      <c r="U41" s="323"/>
      <c r="V41" s="323"/>
    </row>
    <row r="42" spans="2:22" ht="18" customHeight="1">
      <c r="B42" s="281"/>
      <c r="C42" s="392"/>
      <c r="D42" s="282"/>
      <c r="E42" s="282"/>
      <c r="F42" s="282"/>
      <c r="G42" s="281"/>
      <c r="H42" s="281"/>
      <c r="I42" s="281"/>
      <c r="J42" s="281"/>
      <c r="K42" s="282"/>
      <c r="L42" s="282"/>
      <c r="M42" s="282"/>
      <c r="N42" s="282"/>
      <c r="O42" s="282"/>
      <c r="P42" s="323"/>
      <c r="Q42" s="323"/>
      <c r="R42" s="323"/>
      <c r="S42" s="323"/>
      <c r="T42" s="323"/>
      <c r="U42" s="323"/>
      <c r="V42" s="323"/>
    </row>
    <row r="43" spans="2:22" ht="28.5" customHeight="1">
      <c r="B43" s="281"/>
      <c r="C43" s="392"/>
      <c r="D43" s="282"/>
      <c r="E43" s="282"/>
      <c r="F43" s="282"/>
      <c r="G43" s="281"/>
      <c r="H43" s="281"/>
      <c r="I43" s="281"/>
      <c r="J43" s="281"/>
      <c r="K43" s="282"/>
      <c r="L43" s="282"/>
      <c r="M43" s="282"/>
      <c r="N43" s="282"/>
      <c r="O43" s="282"/>
      <c r="P43" s="323"/>
      <c r="Q43" s="323"/>
      <c r="R43" s="323"/>
      <c r="S43" s="323"/>
      <c r="T43" s="323"/>
      <c r="U43" s="323"/>
      <c r="V43" s="323"/>
    </row>
    <row r="44" spans="2:22" ht="18" customHeight="1">
      <c r="B44" s="281"/>
      <c r="C44" s="392"/>
      <c r="D44" s="282"/>
      <c r="E44" s="282"/>
      <c r="F44" s="282"/>
      <c r="G44" s="281"/>
      <c r="H44" s="281"/>
      <c r="I44" s="281"/>
      <c r="J44" s="281"/>
      <c r="K44" s="282"/>
      <c r="L44" s="282"/>
      <c r="M44" s="282"/>
      <c r="N44" s="282"/>
      <c r="O44" s="282"/>
      <c r="P44" s="323"/>
      <c r="Q44" s="323"/>
      <c r="R44" s="323"/>
      <c r="S44" s="323"/>
      <c r="T44" s="323"/>
      <c r="U44" s="323"/>
      <c r="V44" s="323"/>
    </row>
    <row r="45" spans="2:22" ht="18" customHeight="1">
      <c r="B45" s="644" t="str">
        <f>TT!C6</f>
        <v>Hà Thị Mai</v>
      </c>
      <c r="C45" s="644"/>
      <c r="D45" s="644"/>
      <c r="E45" s="644"/>
      <c r="F45" s="644"/>
      <c r="G45" s="644"/>
      <c r="H45" s="297"/>
      <c r="I45" s="297"/>
      <c r="J45" s="297"/>
      <c r="K45" s="282"/>
      <c r="L45" s="282"/>
      <c r="M45" s="282"/>
      <c r="N45" s="282"/>
      <c r="O45" s="282"/>
      <c r="P45" s="662" t="str">
        <f>TT!C3</f>
        <v>Nguyễn Tuyên</v>
      </c>
      <c r="Q45" s="662"/>
      <c r="R45" s="662"/>
      <c r="S45" s="662"/>
      <c r="T45" s="662"/>
      <c r="U45" s="662"/>
      <c r="V45" s="662"/>
    </row>
  </sheetData>
  <sheetProtection formatCells="0" formatColumns="0" formatRows="0" insertRows="0" deleteRows="0"/>
  <mergeCells count="34">
    <mergeCell ref="W5:W7"/>
    <mergeCell ref="U5:U7"/>
    <mergeCell ref="F6:G6"/>
    <mergeCell ref="A3:A7"/>
    <mergeCell ref="E6:E7"/>
    <mergeCell ref="A1:E1"/>
    <mergeCell ref="F1:Q1"/>
    <mergeCell ref="R1:W1"/>
    <mergeCell ref="R2:W2"/>
    <mergeCell ref="C3:C7"/>
    <mergeCell ref="D3:D7"/>
    <mergeCell ref="E3:Q3"/>
    <mergeCell ref="R3:W3"/>
    <mergeCell ref="E4:G5"/>
    <mergeCell ref="H4:Q4"/>
    <mergeCell ref="R4:R7"/>
    <mergeCell ref="S4:W4"/>
    <mergeCell ref="H5:H7"/>
    <mergeCell ref="I6:K6"/>
    <mergeCell ref="L6:N6"/>
    <mergeCell ref="O6:O7"/>
    <mergeCell ref="P45:V45"/>
    <mergeCell ref="B39:G39"/>
    <mergeCell ref="B40:G40"/>
    <mergeCell ref="B45:G45"/>
    <mergeCell ref="B3:B7"/>
    <mergeCell ref="P39:V39"/>
    <mergeCell ref="P40:V40"/>
    <mergeCell ref="P6:P7"/>
    <mergeCell ref="V5:V7"/>
    <mergeCell ref="Q5:Q7"/>
    <mergeCell ref="S5:S7"/>
    <mergeCell ref="T5:T7"/>
    <mergeCell ref="I5:P5"/>
  </mergeCells>
  <printOptions/>
  <pageMargins left="0.33" right="0.31496063" top="0.67"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V25"/>
  <sheetViews>
    <sheetView view="pageBreakPreview" zoomScaleSheetLayoutView="100" zoomScalePageLayoutView="0" workbookViewId="0" topLeftCell="A4">
      <selection activeCell="O11" sqref="O11"/>
    </sheetView>
  </sheetViews>
  <sheetFormatPr defaultColWidth="9.00390625" defaultRowHeight="15.75"/>
  <cols>
    <col min="1" max="1" width="3.875" style="0" customWidth="1"/>
    <col min="2" max="2" width="25.50390625" style="0" customWidth="1"/>
    <col min="3" max="3" width="5.25390625" style="120" bestFit="1" customWidth="1"/>
    <col min="4" max="4" width="4.75390625" style="120" customWidth="1"/>
    <col min="5" max="5" width="4.625" style="120" bestFit="1" customWidth="1"/>
    <col min="6" max="6" width="4.75390625" style="120" customWidth="1"/>
    <col min="7" max="7" width="5.00390625" style="120" customWidth="1"/>
    <col min="8" max="8" width="4.625" style="120" bestFit="1" customWidth="1"/>
    <col min="9" max="9" width="4.375" style="120" customWidth="1"/>
    <col min="10" max="10" width="4.50390625" style="120" customWidth="1"/>
    <col min="11" max="11" width="4.625" style="120" bestFit="1" customWidth="1"/>
    <col min="12" max="12" width="4.50390625" style="120" customWidth="1"/>
    <col min="13" max="13" width="5.125" style="120" customWidth="1"/>
    <col min="14" max="14" width="5.00390625" style="120" bestFit="1" customWidth="1"/>
    <col min="15" max="15" width="6.375" style="120" bestFit="1" customWidth="1"/>
    <col min="16" max="16" width="4.375" style="120" customWidth="1"/>
    <col min="17" max="17" width="5.875" style="120" customWidth="1"/>
    <col min="18" max="18" width="4.75390625" style="120" customWidth="1"/>
    <col min="19" max="19" width="5.25390625" style="120" customWidth="1"/>
    <col min="20" max="20" width="6.25390625" style="120" customWidth="1"/>
    <col min="21" max="21" width="7.875" style="120" customWidth="1"/>
  </cols>
  <sheetData>
    <row r="1" spans="1:21" ht="67.5" customHeight="1">
      <c r="A1" s="532" t="s">
        <v>333</v>
      </c>
      <c r="B1" s="532"/>
      <c r="C1" s="532"/>
      <c r="D1" s="532"/>
      <c r="E1" s="532"/>
      <c r="F1" s="487" t="s">
        <v>440</v>
      </c>
      <c r="G1" s="487"/>
      <c r="H1" s="487"/>
      <c r="I1" s="487"/>
      <c r="J1" s="487"/>
      <c r="K1" s="487"/>
      <c r="L1" s="487"/>
      <c r="M1" s="487"/>
      <c r="N1" s="487"/>
      <c r="O1" s="487"/>
      <c r="P1" s="487"/>
      <c r="Q1" s="508" t="str">
        <f>TT!C2</f>
        <v>Đơn vị  báo cáo: 
Cục Thi hành án dân sự tỉnh Tuyên Quang
Đơn vị nhận báo cáo: Tổng cục Thi hành án dân sự</v>
      </c>
      <c r="R1" s="508"/>
      <c r="S1" s="508"/>
      <c r="T1" s="508"/>
      <c r="U1" s="508"/>
    </row>
    <row r="2" spans="17:21" ht="15.75" customHeight="1">
      <c r="Q2" s="676" t="s">
        <v>221</v>
      </c>
      <c r="R2" s="676"/>
      <c r="S2" s="676"/>
      <c r="T2" s="676"/>
      <c r="U2" s="676"/>
    </row>
    <row r="3" spans="1:21" ht="18.75" customHeight="1">
      <c r="A3" s="685" t="s">
        <v>136</v>
      </c>
      <c r="B3" s="685" t="s">
        <v>157</v>
      </c>
      <c r="C3" s="690" t="s">
        <v>222</v>
      </c>
      <c r="D3" s="690"/>
      <c r="E3" s="690"/>
      <c r="F3" s="690" t="s">
        <v>223</v>
      </c>
      <c r="G3" s="690"/>
      <c r="H3" s="690"/>
      <c r="I3" s="690" t="s">
        <v>224</v>
      </c>
      <c r="J3" s="690"/>
      <c r="K3" s="690"/>
      <c r="L3" s="690" t="s">
        <v>225</v>
      </c>
      <c r="M3" s="690"/>
      <c r="N3" s="690"/>
      <c r="O3" s="690"/>
      <c r="P3" s="690"/>
      <c r="Q3" s="690"/>
      <c r="R3" s="690"/>
      <c r="S3" s="690" t="s">
        <v>226</v>
      </c>
      <c r="T3" s="690"/>
      <c r="U3" s="690"/>
    </row>
    <row r="4" spans="1:21" ht="18.75" customHeight="1">
      <c r="A4" s="686"/>
      <c r="B4" s="686"/>
      <c r="C4" s="690"/>
      <c r="D4" s="690"/>
      <c r="E4" s="690"/>
      <c r="F4" s="690"/>
      <c r="G4" s="690"/>
      <c r="H4" s="690"/>
      <c r="I4" s="690"/>
      <c r="J4" s="690"/>
      <c r="K4" s="690"/>
      <c r="L4" s="690" t="s">
        <v>227</v>
      </c>
      <c r="M4" s="690"/>
      <c r="N4" s="690"/>
      <c r="O4" s="690"/>
      <c r="P4" s="690" t="s">
        <v>228</v>
      </c>
      <c r="Q4" s="690"/>
      <c r="R4" s="690"/>
      <c r="S4" s="690"/>
      <c r="T4" s="690"/>
      <c r="U4" s="690"/>
    </row>
    <row r="5" spans="1:21" ht="18.75" customHeight="1">
      <c r="A5" s="686"/>
      <c r="B5" s="686"/>
      <c r="C5" s="690"/>
      <c r="D5" s="690"/>
      <c r="E5" s="690"/>
      <c r="F5" s="690"/>
      <c r="G5" s="690"/>
      <c r="H5" s="690"/>
      <c r="I5" s="690"/>
      <c r="J5" s="690"/>
      <c r="K5" s="690"/>
      <c r="L5" s="685" t="s">
        <v>12</v>
      </c>
      <c r="M5" s="690" t="s">
        <v>4</v>
      </c>
      <c r="N5" s="690"/>
      <c r="O5" s="690"/>
      <c r="P5" s="685" t="s">
        <v>12</v>
      </c>
      <c r="Q5" s="690" t="s">
        <v>4</v>
      </c>
      <c r="R5" s="690"/>
      <c r="S5" s="690"/>
      <c r="T5" s="690"/>
      <c r="U5" s="690"/>
    </row>
    <row r="6" spans="1:21" ht="48" customHeight="1">
      <c r="A6" s="686"/>
      <c r="B6" s="686"/>
      <c r="C6" s="685" t="s">
        <v>229</v>
      </c>
      <c r="D6" s="685" t="s">
        <v>230</v>
      </c>
      <c r="E6" s="685" t="s">
        <v>231</v>
      </c>
      <c r="F6" s="685" t="s">
        <v>232</v>
      </c>
      <c r="G6" s="685" t="s">
        <v>230</v>
      </c>
      <c r="H6" s="685" t="s">
        <v>231</v>
      </c>
      <c r="I6" s="685" t="s">
        <v>229</v>
      </c>
      <c r="J6" s="685" t="s">
        <v>230</v>
      </c>
      <c r="K6" s="685" t="s">
        <v>231</v>
      </c>
      <c r="L6" s="686"/>
      <c r="M6" s="685" t="s">
        <v>215</v>
      </c>
      <c r="N6" s="685" t="s">
        <v>216</v>
      </c>
      <c r="O6" s="685" t="s">
        <v>233</v>
      </c>
      <c r="P6" s="686"/>
      <c r="Q6" s="685" t="s">
        <v>234</v>
      </c>
      <c r="R6" s="685" t="s">
        <v>235</v>
      </c>
      <c r="S6" s="685" t="s">
        <v>12</v>
      </c>
      <c r="T6" s="685" t="s">
        <v>236</v>
      </c>
      <c r="U6" s="685" t="s">
        <v>198</v>
      </c>
    </row>
    <row r="7" spans="1:21" ht="15.75">
      <c r="A7" s="687"/>
      <c r="B7" s="687"/>
      <c r="C7" s="687"/>
      <c r="D7" s="687"/>
      <c r="E7" s="687"/>
      <c r="F7" s="687"/>
      <c r="G7" s="687"/>
      <c r="H7" s="687"/>
      <c r="I7" s="687"/>
      <c r="J7" s="687"/>
      <c r="K7" s="687"/>
      <c r="L7" s="687"/>
      <c r="M7" s="687"/>
      <c r="N7" s="687"/>
      <c r="O7" s="687"/>
      <c r="P7" s="687"/>
      <c r="Q7" s="687"/>
      <c r="R7" s="687"/>
      <c r="S7" s="687"/>
      <c r="T7" s="687"/>
      <c r="U7" s="687"/>
    </row>
    <row r="8" spans="1:21" ht="15.75">
      <c r="A8" s="688" t="s">
        <v>3</v>
      </c>
      <c r="B8" s="688"/>
      <c r="C8" s="121">
        <v>1</v>
      </c>
      <c r="D8" s="122">
        <v>2</v>
      </c>
      <c r="E8" s="122">
        <v>3</v>
      </c>
      <c r="F8" s="122">
        <v>4</v>
      </c>
      <c r="G8" s="122">
        <v>5</v>
      </c>
      <c r="H8" s="122">
        <v>6</v>
      </c>
      <c r="I8" s="122">
        <v>7</v>
      </c>
      <c r="J8" s="122">
        <v>8</v>
      </c>
      <c r="K8" s="122">
        <v>9</v>
      </c>
      <c r="L8" s="122">
        <v>10</v>
      </c>
      <c r="M8" s="122">
        <v>11</v>
      </c>
      <c r="N8" s="122">
        <v>12</v>
      </c>
      <c r="O8" s="122">
        <v>13</v>
      </c>
      <c r="P8" s="122">
        <v>14</v>
      </c>
      <c r="Q8" s="122">
        <v>15</v>
      </c>
      <c r="R8" s="122">
        <v>16</v>
      </c>
      <c r="S8" s="122">
        <v>17</v>
      </c>
      <c r="T8" s="122">
        <v>18</v>
      </c>
      <c r="U8" s="122">
        <v>19</v>
      </c>
    </row>
    <row r="9" spans="1:21" s="325" customFormat="1" ht="22.5" customHeight="1">
      <c r="A9" s="689" t="s">
        <v>12</v>
      </c>
      <c r="B9" s="689"/>
      <c r="C9" s="434">
        <f>SUM(C10:C17)</f>
        <v>13</v>
      </c>
      <c r="D9" s="434">
        <f aca="true" t="shared" si="0" ref="D9:U9">SUM(D10:D17)</f>
        <v>14</v>
      </c>
      <c r="E9" s="434">
        <f t="shared" si="0"/>
        <v>13</v>
      </c>
      <c r="F9" s="434">
        <f t="shared" si="0"/>
        <v>0</v>
      </c>
      <c r="G9" s="434">
        <f t="shared" si="0"/>
        <v>0</v>
      </c>
      <c r="H9" s="434">
        <f t="shared" si="0"/>
        <v>0</v>
      </c>
      <c r="I9" s="434">
        <f t="shared" si="0"/>
        <v>1</v>
      </c>
      <c r="J9" s="434">
        <f t="shared" si="0"/>
        <v>2</v>
      </c>
      <c r="K9" s="434">
        <f t="shared" si="0"/>
        <v>1</v>
      </c>
      <c r="L9" s="434">
        <f t="shared" si="0"/>
        <v>13</v>
      </c>
      <c r="M9" s="434">
        <f t="shared" si="0"/>
        <v>5</v>
      </c>
      <c r="N9" s="434">
        <f t="shared" si="0"/>
        <v>1</v>
      </c>
      <c r="O9" s="434">
        <f t="shared" si="0"/>
        <v>7</v>
      </c>
      <c r="P9" s="434">
        <f t="shared" si="0"/>
        <v>13</v>
      </c>
      <c r="Q9" s="434">
        <f t="shared" si="0"/>
        <v>13</v>
      </c>
      <c r="R9" s="434">
        <f t="shared" si="0"/>
        <v>0</v>
      </c>
      <c r="S9" s="434">
        <f t="shared" si="0"/>
        <v>13</v>
      </c>
      <c r="T9" s="434">
        <f t="shared" si="0"/>
        <v>13</v>
      </c>
      <c r="U9" s="434">
        <f t="shared" si="0"/>
        <v>0</v>
      </c>
    </row>
    <row r="10" spans="1:21" s="325" customFormat="1" ht="22.5" customHeight="1">
      <c r="A10" s="326">
        <v>1</v>
      </c>
      <c r="B10" s="327" t="s">
        <v>237</v>
      </c>
      <c r="C10" s="324">
        <v>5</v>
      </c>
      <c r="D10" s="324">
        <v>6</v>
      </c>
      <c r="E10" s="324">
        <v>5</v>
      </c>
      <c r="F10" s="324">
        <v>0</v>
      </c>
      <c r="G10" s="324">
        <v>0</v>
      </c>
      <c r="H10" s="324">
        <v>0</v>
      </c>
      <c r="I10" s="324">
        <v>1</v>
      </c>
      <c r="J10" s="324">
        <v>2</v>
      </c>
      <c r="K10" s="324">
        <v>1</v>
      </c>
      <c r="L10" s="324">
        <v>5</v>
      </c>
      <c r="M10" s="324">
        <v>3</v>
      </c>
      <c r="N10" s="324">
        <v>0</v>
      </c>
      <c r="O10" s="324">
        <v>2</v>
      </c>
      <c r="P10" s="324">
        <v>5</v>
      </c>
      <c r="Q10" s="324">
        <v>5</v>
      </c>
      <c r="R10" s="324">
        <v>0</v>
      </c>
      <c r="S10" s="324">
        <v>5</v>
      </c>
      <c r="T10" s="324">
        <v>5</v>
      </c>
      <c r="U10" s="324">
        <v>0</v>
      </c>
    </row>
    <row r="11" spans="1:21" s="325" customFormat="1" ht="22.5" customHeight="1">
      <c r="A11" s="326">
        <v>2</v>
      </c>
      <c r="B11" s="327" t="s">
        <v>344</v>
      </c>
      <c r="C11" s="324">
        <v>2</v>
      </c>
      <c r="D11" s="324">
        <v>2</v>
      </c>
      <c r="E11" s="324">
        <v>2</v>
      </c>
      <c r="F11" s="324">
        <v>0</v>
      </c>
      <c r="G11" s="324">
        <v>0</v>
      </c>
      <c r="H11" s="324">
        <v>0</v>
      </c>
      <c r="I11" s="324">
        <v>0</v>
      </c>
      <c r="J11" s="324">
        <v>0</v>
      </c>
      <c r="K11" s="324">
        <v>0</v>
      </c>
      <c r="L11" s="324">
        <v>2</v>
      </c>
      <c r="M11" s="324">
        <v>1</v>
      </c>
      <c r="N11" s="324">
        <v>1</v>
      </c>
      <c r="O11" s="324">
        <v>0</v>
      </c>
      <c r="P11" s="324">
        <v>2</v>
      </c>
      <c r="Q11" s="324">
        <v>2</v>
      </c>
      <c r="R11" s="324">
        <v>0</v>
      </c>
      <c r="S11" s="324">
        <v>2</v>
      </c>
      <c r="T11" s="324">
        <v>2</v>
      </c>
      <c r="U11" s="324">
        <v>0</v>
      </c>
    </row>
    <row r="12" spans="1:21" s="325" customFormat="1" ht="22.5" customHeight="1">
      <c r="A12" s="326">
        <v>3</v>
      </c>
      <c r="B12" s="327" t="s">
        <v>345</v>
      </c>
      <c r="C12" s="324">
        <v>1</v>
      </c>
      <c r="D12" s="324">
        <v>1</v>
      </c>
      <c r="E12" s="324">
        <v>1</v>
      </c>
      <c r="F12" s="324">
        <v>0</v>
      </c>
      <c r="G12" s="324">
        <v>0</v>
      </c>
      <c r="H12" s="324">
        <v>0</v>
      </c>
      <c r="I12" s="324">
        <v>0</v>
      </c>
      <c r="J12" s="324">
        <v>0</v>
      </c>
      <c r="K12" s="324">
        <v>0</v>
      </c>
      <c r="L12" s="324">
        <v>1</v>
      </c>
      <c r="M12" s="324">
        <v>0</v>
      </c>
      <c r="N12" s="324">
        <v>0</v>
      </c>
      <c r="O12" s="324">
        <v>1</v>
      </c>
      <c r="P12" s="324">
        <v>1</v>
      </c>
      <c r="Q12" s="324">
        <v>1</v>
      </c>
      <c r="R12" s="324">
        <v>0</v>
      </c>
      <c r="S12" s="324">
        <v>1</v>
      </c>
      <c r="T12" s="324">
        <v>1</v>
      </c>
      <c r="U12" s="324">
        <v>0</v>
      </c>
    </row>
    <row r="13" spans="1:21" s="325" customFormat="1" ht="22.5" customHeight="1">
      <c r="A13" s="326">
        <v>4</v>
      </c>
      <c r="B13" s="327" t="s">
        <v>346</v>
      </c>
      <c r="C13" s="324">
        <v>4</v>
      </c>
      <c r="D13" s="324">
        <v>4</v>
      </c>
      <c r="E13" s="324">
        <v>4</v>
      </c>
      <c r="F13" s="324">
        <v>0</v>
      </c>
      <c r="G13" s="324">
        <v>0</v>
      </c>
      <c r="H13" s="324">
        <v>0</v>
      </c>
      <c r="I13" s="324">
        <v>0</v>
      </c>
      <c r="J13" s="324">
        <v>0</v>
      </c>
      <c r="K13" s="324">
        <v>0</v>
      </c>
      <c r="L13" s="324">
        <v>4</v>
      </c>
      <c r="M13" s="324">
        <v>1</v>
      </c>
      <c r="N13" s="324">
        <v>0</v>
      </c>
      <c r="O13" s="324">
        <v>3</v>
      </c>
      <c r="P13" s="324">
        <v>4</v>
      </c>
      <c r="Q13" s="324">
        <v>4</v>
      </c>
      <c r="R13" s="324">
        <v>0</v>
      </c>
      <c r="S13" s="324">
        <v>4</v>
      </c>
      <c r="T13" s="324">
        <v>4</v>
      </c>
      <c r="U13" s="324">
        <v>0</v>
      </c>
    </row>
    <row r="14" spans="1:21" s="325" customFormat="1" ht="22.5" customHeight="1">
      <c r="A14" s="326">
        <v>5</v>
      </c>
      <c r="B14" s="327" t="s">
        <v>347</v>
      </c>
      <c r="C14" s="324">
        <v>1</v>
      </c>
      <c r="D14" s="324">
        <v>1</v>
      </c>
      <c r="E14" s="324">
        <v>1</v>
      </c>
      <c r="F14" s="324">
        <v>0</v>
      </c>
      <c r="G14" s="324">
        <v>0</v>
      </c>
      <c r="H14" s="324">
        <v>0</v>
      </c>
      <c r="I14" s="324">
        <v>0</v>
      </c>
      <c r="J14" s="324">
        <v>0</v>
      </c>
      <c r="K14" s="324">
        <v>0</v>
      </c>
      <c r="L14" s="324">
        <v>1</v>
      </c>
      <c r="M14" s="324">
        <v>0</v>
      </c>
      <c r="N14" s="324">
        <v>0</v>
      </c>
      <c r="O14" s="324">
        <v>1</v>
      </c>
      <c r="P14" s="324">
        <v>1</v>
      </c>
      <c r="Q14" s="324">
        <v>1</v>
      </c>
      <c r="R14" s="324">
        <v>0</v>
      </c>
      <c r="S14" s="324">
        <v>1</v>
      </c>
      <c r="T14" s="324">
        <v>1</v>
      </c>
      <c r="U14" s="324">
        <v>0</v>
      </c>
    </row>
    <row r="15" spans="1:21" s="325" customFormat="1" ht="22.5" customHeight="1">
      <c r="A15" s="326">
        <v>6</v>
      </c>
      <c r="B15" s="327" t="s">
        <v>348</v>
      </c>
      <c r="C15" s="324">
        <v>0</v>
      </c>
      <c r="D15" s="324">
        <v>0</v>
      </c>
      <c r="E15" s="324">
        <v>0</v>
      </c>
      <c r="F15" s="324">
        <v>0</v>
      </c>
      <c r="G15" s="324">
        <v>0</v>
      </c>
      <c r="H15" s="324">
        <v>0</v>
      </c>
      <c r="I15" s="324">
        <v>0</v>
      </c>
      <c r="J15" s="324">
        <v>0</v>
      </c>
      <c r="K15" s="324">
        <v>0</v>
      </c>
      <c r="L15" s="324">
        <v>0</v>
      </c>
      <c r="M15" s="324">
        <v>0</v>
      </c>
      <c r="N15" s="324">
        <v>0</v>
      </c>
      <c r="O15" s="324">
        <v>0</v>
      </c>
      <c r="P15" s="324">
        <v>0</v>
      </c>
      <c r="Q15" s="324">
        <v>0</v>
      </c>
      <c r="R15" s="324">
        <v>0</v>
      </c>
      <c r="S15" s="324">
        <v>0</v>
      </c>
      <c r="T15" s="324">
        <v>0</v>
      </c>
      <c r="U15" s="324">
        <v>0</v>
      </c>
    </row>
    <row r="16" spans="1:21" s="325" customFormat="1" ht="22.5" customHeight="1">
      <c r="A16" s="326">
        <v>7</v>
      </c>
      <c r="B16" s="327" t="s">
        <v>401</v>
      </c>
      <c r="C16" s="324">
        <v>0</v>
      </c>
      <c r="D16" s="324">
        <v>0</v>
      </c>
      <c r="E16" s="324">
        <v>0</v>
      </c>
      <c r="F16" s="324">
        <v>0</v>
      </c>
      <c r="G16" s="324">
        <v>0</v>
      </c>
      <c r="H16" s="324">
        <v>0</v>
      </c>
      <c r="I16" s="324">
        <v>0</v>
      </c>
      <c r="J16" s="324">
        <v>0</v>
      </c>
      <c r="K16" s="324">
        <v>0</v>
      </c>
      <c r="L16" s="324">
        <v>0</v>
      </c>
      <c r="M16" s="324">
        <v>0</v>
      </c>
      <c r="N16" s="324">
        <v>0</v>
      </c>
      <c r="O16" s="324">
        <v>0</v>
      </c>
      <c r="P16" s="324">
        <v>0</v>
      </c>
      <c r="Q16" s="324">
        <v>0</v>
      </c>
      <c r="R16" s="324">
        <v>0</v>
      </c>
      <c r="S16" s="324">
        <v>0</v>
      </c>
      <c r="T16" s="324">
        <v>0</v>
      </c>
      <c r="U16" s="324">
        <v>0</v>
      </c>
    </row>
    <row r="17" spans="1:21" s="325" customFormat="1" ht="22.5" customHeight="1">
      <c r="A17" s="326">
        <v>8</v>
      </c>
      <c r="B17" s="328" t="s">
        <v>350</v>
      </c>
      <c r="C17" s="324">
        <v>0</v>
      </c>
      <c r="D17" s="324">
        <v>0</v>
      </c>
      <c r="E17" s="324">
        <v>0</v>
      </c>
      <c r="F17" s="324">
        <v>0</v>
      </c>
      <c r="G17" s="324">
        <v>0</v>
      </c>
      <c r="H17" s="324">
        <v>0</v>
      </c>
      <c r="I17" s="324">
        <v>0</v>
      </c>
      <c r="J17" s="324">
        <v>0</v>
      </c>
      <c r="K17" s="324">
        <v>0</v>
      </c>
      <c r="L17" s="324">
        <v>0</v>
      </c>
      <c r="M17" s="324">
        <v>0</v>
      </c>
      <c r="N17" s="324">
        <v>0</v>
      </c>
      <c r="O17" s="324">
        <v>0</v>
      </c>
      <c r="P17" s="324">
        <v>0</v>
      </c>
      <c r="Q17" s="324">
        <v>0</v>
      </c>
      <c r="R17" s="324">
        <v>0</v>
      </c>
      <c r="S17" s="324">
        <v>0</v>
      </c>
      <c r="T17" s="324">
        <v>0</v>
      </c>
      <c r="U17" s="324">
        <v>0</v>
      </c>
    </row>
    <row r="18" spans="1:22" ht="17.25" customHeight="1">
      <c r="A18" s="213"/>
      <c r="B18" s="651"/>
      <c r="C18" s="651"/>
      <c r="D18" s="651"/>
      <c r="E18" s="651"/>
      <c r="F18" s="651"/>
      <c r="G18" s="651"/>
      <c r="H18" s="295"/>
      <c r="I18" s="295"/>
      <c r="J18" s="295"/>
      <c r="K18" s="319"/>
      <c r="L18" s="320"/>
      <c r="M18" s="320"/>
      <c r="N18" s="319"/>
      <c r="O18" s="329" t="str">
        <f>TT!C4</f>
        <v>Tuyên Quang, ngày 4 tháng 5 năm 2022</v>
      </c>
      <c r="P18" s="329"/>
      <c r="Q18" s="329"/>
      <c r="R18" s="329"/>
      <c r="S18" s="329"/>
      <c r="T18" s="329"/>
      <c r="U18" s="282"/>
      <c r="V18" s="214"/>
    </row>
    <row r="19" spans="1:22" ht="17.25" customHeight="1">
      <c r="A19" s="126"/>
      <c r="B19" s="643" t="s">
        <v>290</v>
      </c>
      <c r="C19" s="643"/>
      <c r="D19" s="643"/>
      <c r="E19" s="643"/>
      <c r="F19" s="643"/>
      <c r="G19" s="643"/>
      <c r="H19" s="296"/>
      <c r="I19" s="296"/>
      <c r="J19" s="296"/>
      <c r="K19" s="321"/>
      <c r="L19" s="321"/>
      <c r="M19" s="321"/>
      <c r="N19" s="322"/>
      <c r="O19" s="644" t="str">
        <f>TT!C5</f>
        <v>CỤC TRƯỞNG</v>
      </c>
      <c r="P19" s="644"/>
      <c r="Q19" s="644"/>
      <c r="R19" s="644"/>
      <c r="S19" s="644"/>
      <c r="T19" s="644"/>
      <c r="U19" s="282"/>
      <c r="V19" s="318"/>
    </row>
    <row r="20" spans="1:22" ht="17.25" customHeight="1">
      <c r="A20" s="3"/>
      <c r="B20" s="281"/>
      <c r="C20" s="281"/>
      <c r="D20" s="282"/>
      <c r="E20" s="282"/>
      <c r="F20" s="282"/>
      <c r="G20" s="281"/>
      <c r="H20" s="281"/>
      <c r="I20" s="281"/>
      <c r="J20" s="281"/>
      <c r="K20" s="282"/>
      <c r="L20" s="282"/>
      <c r="M20" s="282"/>
      <c r="N20" s="282"/>
      <c r="O20" s="282"/>
      <c r="P20" s="297"/>
      <c r="Q20" s="297"/>
      <c r="R20" s="297"/>
      <c r="S20" s="282"/>
      <c r="T20" s="282"/>
      <c r="U20" s="282"/>
      <c r="V20" s="3"/>
    </row>
    <row r="21" spans="1:22" ht="17.25" customHeight="1">
      <c r="A21" s="3"/>
      <c r="B21" s="281"/>
      <c r="C21" s="281"/>
      <c r="D21" s="282"/>
      <c r="E21" s="282"/>
      <c r="F21" s="282"/>
      <c r="G21" s="281"/>
      <c r="H21" s="281"/>
      <c r="I21" s="281"/>
      <c r="J21" s="281"/>
      <c r="K21" s="282"/>
      <c r="L21" s="282"/>
      <c r="M21" s="282"/>
      <c r="N21" s="282"/>
      <c r="O21" s="282"/>
      <c r="P21" s="302"/>
      <c r="Q21" s="302"/>
      <c r="R21" s="302"/>
      <c r="S21" s="302"/>
      <c r="T21" s="302"/>
      <c r="U21" s="302"/>
      <c r="V21" s="3"/>
    </row>
    <row r="22" spans="1:22" ht="17.25" customHeight="1">
      <c r="A22" s="3"/>
      <c r="B22" s="281"/>
      <c r="C22" s="281"/>
      <c r="D22" s="282"/>
      <c r="E22" s="282"/>
      <c r="F22" s="282"/>
      <c r="G22" s="281"/>
      <c r="H22" s="281"/>
      <c r="I22" s="281"/>
      <c r="J22" s="281"/>
      <c r="K22" s="282"/>
      <c r="L22" s="282"/>
      <c r="M22" s="282"/>
      <c r="N22" s="282"/>
      <c r="O22" s="282"/>
      <c r="P22" s="302"/>
      <c r="Q22" s="302"/>
      <c r="R22" s="302"/>
      <c r="S22" s="302"/>
      <c r="T22" s="302"/>
      <c r="U22" s="302"/>
      <c r="V22" s="3"/>
    </row>
    <row r="23" spans="1:22" ht="17.25" customHeight="1">
      <c r="A23" s="3"/>
      <c r="B23" s="644" t="str">
        <f>TT!C6</f>
        <v>Hà Thị Mai</v>
      </c>
      <c r="C23" s="644"/>
      <c r="D23" s="644"/>
      <c r="E23" s="644"/>
      <c r="F23" s="644"/>
      <c r="G23" s="644"/>
      <c r="H23" s="297"/>
      <c r="I23" s="297"/>
      <c r="J23" s="297"/>
      <c r="K23" s="282"/>
      <c r="L23" s="282"/>
      <c r="M23" s="282"/>
      <c r="N23" s="282"/>
      <c r="O23" s="644" t="str">
        <f>TT!C3</f>
        <v>Nguyễn Tuyên</v>
      </c>
      <c r="P23" s="644"/>
      <c r="Q23" s="644"/>
      <c r="R23" s="644"/>
      <c r="S23" s="644"/>
      <c r="T23" s="644"/>
      <c r="U23" s="282"/>
      <c r="V23" s="3"/>
    </row>
    <row r="24" spans="1:21" ht="17.25" customHeight="1">
      <c r="A24" s="302"/>
      <c r="B24" s="302"/>
      <c r="C24" s="302"/>
      <c r="D24" s="302"/>
      <c r="E24" s="302"/>
      <c r="F24" s="302"/>
      <c r="G24" s="302"/>
      <c r="H24" s="302"/>
      <c r="I24" s="302"/>
      <c r="J24" s="302"/>
      <c r="K24" s="302"/>
      <c r="L24" s="302"/>
      <c r="M24" s="302"/>
      <c r="N24" s="302"/>
      <c r="O24" s="302"/>
      <c r="P24" s="281"/>
      <c r="Q24" s="281"/>
      <c r="R24" s="281"/>
      <c r="S24" s="282"/>
      <c r="T24" s="282"/>
      <c r="U24" s="282"/>
    </row>
    <row r="25" spans="1:21" ht="16.5">
      <c r="A25" s="302"/>
      <c r="B25" s="302"/>
      <c r="C25" s="302"/>
      <c r="D25" s="302"/>
      <c r="E25" s="302"/>
      <c r="F25" s="302"/>
      <c r="G25" s="302"/>
      <c r="H25" s="302"/>
      <c r="I25" s="302"/>
      <c r="J25" s="302"/>
      <c r="K25" s="302"/>
      <c r="L25" s="302"/>
      <c r="M25" s="302"/>
      <c r="N25" s="302"/>
      <c r="O25" s="302"/>
      <c r="P25" s="297"/>
      <c r="Q25" s="297"/>
      <c r="R25" s="297"/>
      <c r="S25" s="282"/>
      <c r="T25" s="282"/>
      <c r="U25" s="282"/>
    </row>
  </sheetData>
  <sheetProtection formatCells="0" formatColumns="0" formatRows="0" insertRows="0" deleteRows="0"/>
  <mergeCells count="41">
    <mergeCell ref="D6:D7"/>
    <mergeCell ref="A1:E1"/>
    <mergeCell ref="Q1:U1"/>
    <mergeCell ref="Q2:U2"/>
    <mergeCell ref="C3:E5"/>
    <mergeCell ref="F3:H5"/>
    <mergeCell ref="I3:K5"/>
    <mergeCell ref="L3:R3"/>
    <mergeCell ref="S3:U5"/>
    <mergeCell ref="L4:O4"/>
    <mergeCell ref="P4:R4"/>
    <mergeCell ref="M5:O5"/>
    <mergeCell ref="F1:P1"/>
    <mergeCell ref="Q5:R5"/>
    <mergeCell ref="E6:E7"/>
    <mergeCell ref="F6:F7"/>
    <mergeCell ref="B18:G18"/>
    <mergeCell ref="B19:G19"/>
    <mergeCell ref="B23:G23"/>
    <mergeCell ref="O19:T19"/>
    <mergeCell ref="O23:T23"/>
    <mergeCell ref="A8:B8"/>
    <mergeCell ref="A9:B9"/>
    <mergeCell ref="A3:A7"/>
    <mergeCell ref="B3:B7"/>
    <mergeCell ref="C6:C7"/>
    <mergeCell ref="I6:I7"/>
    <mergeCell ref="J6:J7"/>
    <mergeCell ref="K6:K7"/>
    <mergeCell ref="G6:G7"/>
    <mergeCell ref="H6:H7"/>
    <mergeCell ref="L5:L7"/>
    <mergeCell ref="M6:M7"/>
    <mergeCell ref="S6:S7"/>
    <mergeCell ref="T6:T7"/>
    <mergeCell ref="U6:U7"/>
    <mergeCell ref="N6:N7"/>
    <mergeCell ref="O6:O7"/>
    <mergeCell ref="P5:P7"/>
    <mergeCell ref="Q6:Q7"/>
    <mergeCell ref="R6:R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6"/>
  <sheetViews>
    <sheetView view="pageBreakPreview" zoomScaleSheetLayoutView="100" zoomScalePageLayoutView="0" workbookViewId="0" topLeftCell="A1">
      <selection activeCell="D10" sqref="D10"/>
    </sheetView>
  </sheetViews>
  <sheetFormatPr defaultColWidth="9.00390625" defaultRowHeight="15.75"/>
  <cols>
    <col min="1" max="1" width="3.75390625" style="127" customWidth="1"/>
    <col min="2" max="2" width="28.375" style="127" customWidth="1"/>
    <col min="3" max="4" width="4.375" style="1" customWidth="1"/>
    <col min="5" max="5" width="4.875" style="1" customWidth="1"/>
    <col min="6" max="6" width="5.75390625" style="1" customWidth="1"/>
    <col min="7" max="7" width="4.00390625" style="1" customWidth="1"/>
    <col min="8" max="8" width="4.375" style="1" customWidth="1"/>
    <col min="9" max="9" width="4.625" style="1" customWidth="1"/>
    <col min="10" max="10" width="4.375" style="1" customWidth="1"/>
    <col min="11" max="11" width="5.00390625" style="1" customWidth="1"/>
    <col min="12" max="12" width="4.25390625" style="1" customWidth="1"/>
    <col min="13" max="13" width="4.75390625" style="1" customWidth="1"/>
    <col min="14" max="14" width="4.50390625" style="1" customWidth="1"/>
    <col min="15" max="15" width="4.25390625" style="1" customWidth="1"/>
    <col min="16" max="16" width="4.625" style="1" customWidth="1"/>
    <col min="17" max="17" width="4.25390625" style="1" customWidth="1"/>
    <col min="18" max="18" width="6.625" style="1" customWidth="1"/>
    <col min="19" max="19" width="4.375" style="1" customWidth="1"/>
    <col min="20" max="20" width="4.75390625" style="1" customWidth="1"/>
    <col min="21" max="21" width="4.625" style="1" customWidth="1"/>
    <col min="22" max="22" width="4.25390625" style="1" customWidth="1"/>
    <col min="23" max="23" width="5.00390625" style="1" customWidth="1"/>
    <col min="24" max="24" width="4.25390625" style="1" customWidth="1"/>
    <col min="25" max="16384" width="9.00390625" style="1" customWidth="1"/>
  </cols>
  <sheetData>
    <row r="1" spans="1:24" ht="64.5" customHeight="1">
      <c r="A1" s="510" t="s">
        <v>334</v>
      </c>
      <c r="B1" s="510"/>
      <c r="C1" s="510"/>
      <c r="D1" s="510"/>
      <c r="E1" s="510"/>
      <c r="F1" s="487" t="s">
        <v>441</v>
      </c>
      <c r="G1" s="487"/>
      <c r="H1" s="487"/>
      <c r="I1" s="487"/>
      <c r="J1" s="487"/>
      <c r="K1" s="487"/>
      <c r="L1" s="487"/>
      <c r="M1" s="487"/>
      <c r="N1" s="487"/>
      <c r="O1" s="487"/>
      <c r="P1" s="487"/>
      <c r="Q1" s="487"/>
      <c r="R1" s="508" t="str">
        <f>TT!C2</f>
        <v>Đơn vị  báo cáo: 
Cục Thi hành án dân sự tỉnh Tuyên Quang
Đơn vị nhận báo cáo: Tổng cục Thi hành án dân sự</v>
      </c>
      <c r="S1" s="508"/>
      <c r="T1" s="508"/>
      <c r="U1" s="508"/>
      <c r="V1" s="508"/>
      <c r="W1" s="508"/>
      <c r="X1" s="508"/>
    </row>
    <row r="2" spans="1:24" ht="14.25" customHeight="1">
      <c r="A2" s="25"/>
      <c r="B2" s="3"/>
      <c r="C2" s="3"/>
      <c r="D2" s="3"/>
      <c r="E2" s="37"/>
      <c r="F2" s="42"/>
      <c r="G2" s="42"/>
      <c r="H2" s="702"/>
      <c r="I2" s="702"/>
      <c r="J2" s="174"/>
      <c r="K2" s="123"/>
      <c r="L2" s="703"/>
      <c r="M2" s="703"/>
      <c r="N2" s="703"/>
      <c r="O2" s="703"/>
      <c r="P2" s="703"/>
      <c r="Q2" s="124"/>
      <c r="R2" s="704"/>
      <c r="S2" s="704"/>
      <c r="T2" s="704"/>
      <c r="U2" s="704"/>
      <c r="V2" s="704"/>
      <c r="W2" s="704"/>
      <c r="X2" s="704"/>
    </row>
    <row r="3" spans="1:24" s="125" customFormat="1" ht="15.75" customHeight="1">
      <c r="A3" s="594" t="s">
        <v>238</v>
      </c>
      <c r="B3" s="694" t="s">
        <v>157</v>
      </c>
      <c r="C3" s="695" t="s">
        <v>294</v>
      </c>
      <c r="D3" s="696"/>
      <c r="E3" s="696"/>
      <c r="F3" s="696"/>
      <c r="G3" s="696"/>
      <c r="H3" s="696"/>
      <c r="I3" s="696"/>
      <c r="J3" s="697"/>
      <c r="K3" s="698" t="s">
        <v>315</v>
      </c>
      <c r="L3" s="699"/>
      <c r="M3" s="699"/>
      <c r="N3" s="699"/>
      <c r="O3" s="699"/>
      <c r="P3" s="699"/>
      <c r="Q3" s="700"/>
      <c r="R3" s="701" t="s">
        <v>316</v>
      </c>
      <c r="S3" s="701"/>
      <c r="T3" s="701"/>
      <c r="U3" s="701"/>
      <c r="V3" s="701"/>
      <c r="W3" s="701"/>
      <c r="X3" s="701"/>
    </row>
    <row r="4" spans="1:24" s="125" customFormat="1" ht="39.75" customHeight="1">
      <c r="A4" s="594"/>
      <c r="B4" s="694"/>
      <c r="C4" s="594" t="s">
        <v>239</v>
      </c>
      <c r="D4" s="594" t="s">
        <v>240</v>
      </c>
      <c r="E4" s="594"/>
      <c r="F4" s="594"/>
      <c r="G4" s="594"/>
      <c r="H4" s="594" t="s">
        <v>241</v>
      </c>
      <c r="I4" s="594"/>
      <c r="J4" s="594"/>
      <c r="K4" s="691" t="s">
        <v>242</v>
      </c>
      <c r="L4" s="691" t="s">
        <v>243</v>
      </c>
      <c r="M4" s="691"/>
      <c r="N4" s="691"/>
      <c r="O4" s="691" t="s">
        <v>244</v>
      </c>
      <c r="P4" s="691"/>
      <c r="Q4" s="691"/>
      <c r="R4" s="691" t="s">
        <v>245</v>
      </c>
      <c r="S4" s="691" t="s">
        <v>246</v>
      </c>
      <c r="T4" s="691"/>
      <c r="U4" s="691"/>
      <c r="V4" s="691" t="s">
        <v>247</v>
      </c>
      <c r="W4" s="691"/>
      <c r="X4" s="691"/>
    </row>
    <row r="5" spans="1:24" s="125" customFormat="1" ht="17.25" customHeight="1">
      <c r="A5" s="594"/>
      <c r="B5" s="694"/>
      <c r="C5" s="594"/>
      <c r="D5" s="594" t="s">
        <v>248</v>
      </c>
      <c r="E5" s="594" t="s">
        <v>249</v>
      </c>
      <c r="F5" s="594" t="s">
        <v>250</v>
      </c>
      <c r="G5" s="594" t="s">
        <v>235</v>
      </c>
      <c r="H5" s="594" t="s">
        <v>251</v>
      </c>
      <c r="I5" s="594" t="s">
        <v>252</v>
      </c>
      <c r="J5" s="594" t="s">
        <v>253</v>
      </c>
      <c r="K5" s="691"/>
      <c r="L5" s="691" t="s">
        <v>251</v>
      </c>
      <c r="M5" s="691" t="s">
        <v>252</v>
      </c>
      <c r="N5" s="594" t="s">
        <v>253</v>
      </c>
      <c r="O5" s="691" t="s">
        <v>251</v>
      </c>
      <c r="P5" s="691" t="s">
        <v>252</v>
      </c>
      <c r="Q5" s="594" t="s">
        <v>253</v>
      </c>
      <c r="R5" s="691"/>
      <c r="S5" s="691" t="s">
        <v>251</v>
      </c>
      <c r="T5" s="691" t="s">
        <v>252</v>
      </c>
      <c r="U5" s="594" t="s">
        <v>253</v>
      </c>
      <c r="V5" s="691" t="s">
        <v>251</v>
      </c>
      <c r="W5" s="691" t="s">
        <v>252</v>
      </c>
      <c r="X5" s="594" t="s">
        <v>253</v>
      </c>
    </row>
    <row r="6" spans="1:24" s="125" customFormat="1" ht="17.25" customHeight="1">
      <c r="A6" s="594"/>
      <c r="B6" s="694"/>
      <c r="C6" s="594"/>
      <c r="D6" s="594"/>
      <c r="E6" s="594"/>
      <c r="F6" s="594"/>
      <c r="G6" s="594"/>
      <c r="H6" s="594"/>
      <c r="I6" s="594"/>
      <c r="J6" s="594"/>
      <c r="K6" s="691"/>
      <c r="L6" s="691"/>
      <c r="M6" s="691"/>
      <c r="N6" s="594"/>
      <c r="O6" s="691"/>
      <c r="P6" s="691"/>
      <c r="Q6" s="594"/>
      <c r="R6" s="691"/>
      <c r="S6" s="691"/>
      <c r="T6" s="691"/>
      <c r="U6" s="594"/>
      <c r="V6" s="691"/>
      <c r="W6" s="691"/>
      <c r="X6" s="594"/>
    </row>
    <row r="7" spans="1:24" ht="17.25" customHeight="1">
      <c r="A7" s="594"/>
      <c r="B7" s="694"/>
      <c r="C7" s="594"/>
      <c r="D7" s="594"/>
      <c r="E7" s="594"/>
      <c r="F7" s="594"/>
      <c r="G7" s="594"/>
      <c r="H7" s="594"/>
      <c r="I7" s="594"/>
      <c r="J7" s="594"/>
      <c r="K7" s="691"/>
      <c r="L7" s="691"/>
      <c r="M7" s="691"/>
      <c r="N7" s="594"/>
      <c r="O7" s="691"/>
      <c r="P7" s="691"/>
      <c r="Q7" s="594"/>
      <c r="R7" s="691"/>
      <c r="S7" s="691"/>
      <c r="T7" s="691"/>
      <c r="U7" s="594"/>
      <c r="V7" s="691"/>
      <c r="W7" s="691"/>
      <c r="X7" s="594"/>
    </row>
    <row r="8" spans="1:24" ht="17.25" customHeight="1">
      <c r="A8" s="603" t="s">
        <v>3</v>
      </c>
      <c r="B8" s="692"/>
      <c r="C8" s="119">
        <v>1</v>
      </c>
      <c r="D8" s="119">
        <v>2</v>
      </c>
      <c r="E8" s="119" t="s">
        <v>19</v>
      </c>
      <c r="F8" s="119">
        <v>4</v>
      </c>
      <c r="G8" s="119">
        <v>5</v>
      </c>
      <c r="H8" s="119">
        <v>6</v>
      </c>
      <c r="I8" s="119">
        <v>7</v>
      </c>
      <c r="J8" s="119">
        <v>8</v>
      </c>
      <c r="K8" s="119">
        <v>9</v>
      </c>
      <c r="L8" s="119">
        <v>10</v>
      </c>
      <c r="M8" s="119">
        <v>11</v>
      </c>
      <c r="N8" s="119">
        <v>12</v>
      </c>
      <c r="O8" s="119">
        <v>13</v>
      </c>
      <c r="P8" s="119">
        <v>14</v>
      </c>
      <c r="Q8" s="119">
        <v>15</v>
      </c>
      <c r="R8" s="119">
        <v>16</v>
      </c>
      <c r="S8" s="119">
        <v>17</v>
      </c>
      <c r="T8" s="119">
        <v>18</v>
      </c>
      <c r="U8" s="119">
        <v>19</v>
      </c>
      <c r="V8" s="119">
        <v>20</v>
      </c>
      <c r="W8" s="119">
        <v>21</v>
      </c>
      <c r="X8" s="119">
        <v>22</v>
      </c>
    </row>
    <row r="9" spans="1:24" s="333" customFormat="1" ht="21" customHeight="1">
      <c r="A9" s="693" t="s">
        <v>254</v>
      </c>
      <c r="B9" s="693"/>
      <c r="C9" s="429">
        <f>SUM(C10:C11)</f>
        <v>0</v>
      </c>
      <c r="D9" s="429">
        <f aca="true" t="shared" si="0" ref="D9:X9">SUM(D10:D11)</f>
        <v>0</v>
      </c>
      <c r="E9" s="429">
        <f t="shared" si="0"/>
        <v>0</v>
      </c>
      <c r="F9" s="429">
        <f t="shared" si="0"/>
        <v>0</v>
      </c>
      <c r="G9" s="429">
        <f t="shared" si="0"/>
        <v>0</v>
      </c>
      <c r="H9" s="429">
        <f t="shared" si="0"/>
        <v>0</v>
      </c>
      <c r="I9" s="429">
        <f t="shared" si="0"/>
        <v>0</v>
      </c>
      <c r="J9" s="429">
        <f t="shared" si="0"/>
        <v>0</v>
      </c>
      <c r="K9" s="429">
        <f t="shared" si="0"/>
        <v>0</v>
      </c>
      <c r="L9" s="429">
        <f t="shared" si="0"/>
        <v>0</v>
      </c>
      <c r="M9" s="429">
        <f t="shared" si="0"/>
        <v>0</v>
      </c>
      <c r="N9" s="429">
        <f t="shared" si="0"/>
        <v>0</v>
      </c>
      <c r="O9" s="429">
        <f t="shared" si="0"/>
        <v>0</v>
      </c>
      <c r="P9" s="429">
        <f t="shared" si="0"/>
        <v>0</v>
      </c>
      <c r="Q9" s="429">
        <f t="shared" si="0"/>
        <v>0</v>
      </c>
      <c r="R9" s="407">
        <f t="shared" si="0"/>
        <v>22</v>
      </c>
      <c r="S9" s="407">
        <f t="shared" si="0"/>
        <v>10</v>
      </c>
      <c r="T9" s="429">
        <f t="shared" si="0"/>
        <v>0</v>
      </c>
      <c r="U9" s="429">
        <f t="shared" si="0"/>
        <v>0</v>
      </c>
      <c r="V9" s="407">
        <f t="shared" si="0"/>
        <v>12</v>
      </c>
      <c r="W9" s="429">
        <f t="shared" si="0"/>
        <v>0</v>
      </c>
      <c r="X9" s="429">
        <f t="shared" si="0"/>
        <v>0</v>
      </c>
    </row>
    <row r="10" spans="1:24" s="333" customFormat="1" ht="21" customHeight="1">
      <c r="A10" s="334" t="s">
        <v>0</v>
      </c>
      <c r="B10" s="335" t="s">
        <v>255</v>
      </c>
      <c r="C10" s="426">
        <v>0</v>
      </c>
      <c r="D10" s="412"/>
      <c r="E10" s="412"/>
      <c r="F10" s="412"/>
      <c r="G10" s="412"/>
      <c r="H10" s="409"/>
      <c r="I10" s="409"/>
      <c r="J10" s="409"/>
      <c r="K10" s="426">
        <v>0</v>
      </c>
      <c r="L10" s="417"/>
      <c r="M10" s="422"/>
      <c r="N10" s="422"/>
      <c r="O10" s="422"/>
      <c r="P10" s="422"/>
      <c r="Q10" s="422"/>
      <c r="R10" s="428">
        <v>1</v>
      </c>
      <c r="S10" s="428">
        <v>1</v>
      </c>
      <c r="T10" s="428"/>
      <c r="U10" s="417"/>
      <c r="V10" s="339"/>
      <c r="W10" s="417"/>
      <c r="X10" s="430"/>
    </row>
    <row r="11" spans="1:24" s="333" customFormat="1" ht="21" customHeight="1">
      <c r="A11" s="334" t="s">
        <v>1</v>
      </c>
      <c r="B11" s="335" t="s">
        <v>8</v>
      </c>
      <c r="C11" s="426">
        <f>SUM(C12:C18)</f>
        <v>0</v>
      </c>
      <c r="D11" s="426">
        <f aca="true" t="shared" si="1" ref="D11:X11">SUM(D12:D18)</f>
        <v>0</v>
      </c>
      <c r="E11" s="426">
        <f t="shared" si="1"/>
        <v>0</v>
      </c>
      <c r="F11" s="426">
        <f t="shared" si="1"/>
        <v>0</v>
      </c>
      <c r="G11" s="426">
        <f t="shared" si="1"/>
        <v>0</v>
      </c>
      <c r="H11" s="426">
        <f t="shared" si="1"/>
        <v>0</v>
      </c>
      <c r="I11" s="426">
        <f t="shared" si="1"/>
        <v>0</v>
      </c>
      <c r="J11" s="426">
        <f t="shared" si="1"/>
        <v>0</v>
      </c>
      <c r="K11" s="426">
        <f t="shared" si="1"/>
        <v>0</v>
      </c>
      <c r="L11" s="426">
        <f t="shared" si="1"/>
        <v>0</v>
      </c>
      <c r="M11" s="426">
        <f t="shared" si="1"/>
        <v>0</v>
      </c>
      <c r="N11" s="426">
        <f t="shared" si="1"/>
        <v>0</v>
      </c>
      <c r="O11" s="426">
        <f t="shared" si="1"/>
        <v>0</v>
      </c>
      <c r="P11" s="426">
        <f t="shared" si="1"/>
        <v>0</v>
      </c>
      <c r="Q11" s="426">
        <f t="shared" si="1"/>
        <v>0</v>
      </c>
      <c r="R11" s="338">
        <f t="shared" si="1"/>
        <v>21</v>
      </c>
      <c r="S11" s="338">
        <f t="shared" si="1"/>
        <v>9</v>
      </c>
      <c r="T11" s="426">
        <f t="shared" si="1"/>
        <v>0</v>
      </c>
      <c r="U11" s="426">
        <f t="shared" si="1"/>
        <v>0</v>
      </c>
      <c r="V11" s="338">
        <f t="shared" si="1"/>
        <v>12</v>
      </c>
      <c r="W11" s="426">
        <f t="shared" si="1"/>
        <v>0</v>
      </c>
      <c r="X11" s="426">
        <f t="shared" si="1"/>
        <v>0</v>
      </c>
    </row>
    <row r="12" spans="1:24" s="333" customFormat="1" ht="21" customHeight="1">
      <c r="A12" s="336">
        <v>1</v>
      </c>
      <c r="B12" s="337" t="s">
        <v>344</v>
      </c>
      <c r="C12" s="426">
        <v>0</v>
      </c>
      <c r="D12" s="426"/>
      <c r="E12" s="426"/>
      <c r="F12" s="426"/>
      <c r="G12" s="426"/>
      <c r="H12" s="417"/>
      <c r="I12" s="417"/>
      <c r="J12" s="417"/>
      <c r="K12" s="426"/>
      <c r="L12" s="417"/>
      <c r="M12" s="417"/>
      <c r="N12" s="417"/>
      <c r="O12" s="417"/>
      <c r="P12" s="417"/>
      <c r="Q12" s="417"/>
      <c r="R12" s="339">
        <v>4</v>
      </c>
      <c r="S12" s="339">
        <v>2</v>
      </c>
      <c r="T12" s="339"/>
      <c r="U12" s="332"/>
      <c r="V12" s="339">
        <v>2</v>
      </c>
      <c r="W12" s="332"/>
      <c r="X12" s="339"/>
    </row>
    <row r="13" spans="1:24" s="333" customFormat="1" ht="21" customHeight="1">
      <c r="A13" s="336">
        <v>2</v>
      </c>
      <c r="B13" s="337" t="s">
        <v>345</v>
      </c>
      <c r="C13" s="426">
        <v>0</v>
      </c>
      <c r="D13" s="426"/>
      <c r="E13" s="426"/>
      <c r="F13" s="426"/>
      <c r="G13" s="426"/>
      <c r="H13" s="427"/>
      <c r="I13" s="427"/>
      <c r="J13" s="427"/>
      <c r="K13" s="426"/>
      <c r="L13" s="340"/>
      <c r="M13" s="340"/>
      <c r="N13" s="340"/>
      <c r="O13" s="340"/>
      <c r="P13" s="340"/>
      <c r="Q13" s="340"/>
      <c r="R13" s="428">
        <v>4</v>
      </c>
      <c r="S13" s="410">
        <v>2</v>
      </c>
      <c r="T13" s="410"/>
      <c r="U13" s="409"/>
      <c r="V13" s="410">
        <v>2</v>
      </c>
      <c r="W13" s="340"/>
      <c r="X13" s="339"/>
    </row>
    <row r="14" spans="1:24" s="333" customFormat="1" ht="21" customHeight="1">
      <c r="A14" s="336">
        <v>3</v>
      </c>
      <c r="B14" s="337" t="s">
        <v>346</v>
      </c>
      <c r="C14" s="426">
        <v>0</v>
      </c>
      <c r="D14" s="426"/>
      <c r="E14" s="426"/>
      <c r="F14" s="426"/>
      <c r="G14" s="426"/>
      <c r="H14" s="427"/>
      <c r="I14" s="427"/>
      <c r="J14" s="427"/>
      <c r="K14" s="426"/>
      <c r="L14" s="340"/>
      <c r="M14" s="340"/>
      <c r="N14" s="340"/>
      <c r="O14" s="340"/>
      <c r="P14" s="340"/>
      <c r="Q14" s="340"/>
      <c r="R14" s="410">
        <v>1</v>
      </c>
      <c r="S14" s="410"/>
      <c r="T14" s="410"/>
      <c r="U14" s="409"/>
      <c r="V14" s="410">
        <v>1</v>
      </c>
      <c r="W14" s="340"/>
      <c r="X14" s="339"/>
    </row>
    <row r="15" spans="1:24" s="333" customFormat="1" ht="21" customHeight="1">
      <c r="A15" s="336">
        <v>4</v>
      </c>
      <c r="B15" s="337" t="s">
        <v>347</v>
      </c>
      <c r="C15" s="426">
        <v>0</v>
      </c>
      <c r="D15" s="426"/>
      <c r="E15" s="426"/>
      <c r="F15" s="426"/>
      <c r="G15" s="426"/>
      <c r="H15" s="427"/>
      <c r="I15" s="427"/>
      <c r="J15" s="427"/>
      <c r="K15" s="426"/>
      <c r="L15" s="340"/>
      <c r="M15" s="340"/>
      <c r="N15" s="340"/>
      <c r="O15" s="340"/>
      <c r="P15" s="340"/>
      <c r="Q15" s="340"/>
      <c r="R15" s="428">
        <v>3</v>
      </c>
      <c r="S15" s="410">
        <v>1</v>
      </c>
      <c r="T15" s="410"/>
      <c r="U15" s="409"/>
      <c r="V15" s="410">
        <v>2</v>
      </c>
      <c r="W15" s="340"/>
      <c r="X15" s="339"/>
    </row>
    <row r="16" spans="1:24" s="333" customFormat="1" ht="21" customHeight="1">
      <c r="A16" s="336">
        <v>5</v>
      </c>
      <c r="B16" s="337" t="s">
        <v>348</v>
      </c>
      <c r="C16" s="426">
        <v>0</v>
      </c>
      <c r="D16" s="426"/>
      <c r="E16" s="426"/>
      <c r="F16" s="426"/>
      <c r="G16" s="426"/>
      <c r="H16" s="427"/>
      <c r="I16" s="427"/>
      <c r="J16" s="427"/>
      <c r="K16" s="426"/>
      <c r="L16" s="340"/>
      <c r="M16" s="340"/>
      <c r="N16" s="340"/>
      <c r="O16" s="340"/>
      <c r="P16" s="340"/>
      <c r="Q16" s="340"/>
      <c r="R16" s="428">
        <v>5</v>
      </c>
      <c r="S16" s="410">
        <v>2</v>
      </c>
      <c r="T16" s="410"/>
      <c r="U16" s="409"/>
      <c r="V16" s="410">
        <v>3</v>
      </c>
      <c r="W16" s="340"/>
      <c r="X16" s="339"/>
    </row>
    <row r="17" spans="1:24" s="333" customFormat="1" ht="21" customHeight="1">
      <c r="A17" s="336">
        <v>6</v>
      </c>
      <c r="B17" s="337" t="s">
        <v>401</v>
      </c>
      <c r="C17" s="426">
        <v>0</v>
      </c>
      <c r="D17" s="426"/>
      <c r="E17" s="426"/>
      <c r="F17" s="426"/>
      <c r="G17" s="426"/>
      <c r="H17" s="427"/>
      <c r="I17" s="427"/>
      <c r="J17" s="427"/>
      <c r="K17" s="426"/>
      <c r="L17" s="340"/>
      <c r="M17" s="340"/>
      <c r="N17" s="340"/>
      <c r="O17" s="340"/>
      <c r="P17" s="340"/>
      <c r="Q17" s="340"/>
      <c r="R17" s="411">
        <v>2</v>
      </c>
      <c r="S17" s="410">
        <v>1</v>
      </c>
      <c r="T17" s="410"/>
      <c r="U17" s="409"/>
      <c r="V17" s="410">
        <v>1</v>
      </c>
      <c r="W17" s="340"/>
      <c r="X17" s="339"/>
    </row>
    <row r="18" spans="1:24" s="333" customFormat="1" ht="21" customHeight="1">
      <c r="A18" s="336">
        <v>7</v>
      </c>
      <c r="B18" s="337" t="s">
        <v>427</v>
      </c>
      <c r="C18" s="426">
        <v>0</v>
      </c>
      <c r="D18" s="426"/>
      <c r="E18" s="426"/>
      <c r="F18" s="426"/>
      <c r="G18" s="426"/>
      <c r="H18" s="427"/>
      <c r="I18" s="427"/>
      <c r="J18" s="427"/>
      <c r="K18" s="426"/>
      <c r="L18" s="340"/>
      <c r="M18" s="340"/>
      <c r="N18" s="340"/>
      <c r="O18" s="340"/>
      <c r="P18" s="340"/>
      <c r="Q18" s="340"/>
      <c r="R18" s="428">
        <v>2</v>
      </c>
      <c r="S18" s="410">
        <v>1</v>
      </c>
      <c r="T18" s="410"/>
      <c r="U18" s="409"/>
      <c r="V18" s="410">
        <v>1</v>
      </c>
      <c r="W18" s="340"/>
      <c r="X18" s="339"/>
    </row>
    <row r="19" spans="1:25" ht="24.75" customHeight="1">
      <c r="A19" s="213"/>
      <c r="B19" s="651" t="str">
        <f>TT!C7</f>
        <v>Tuyên Quang, ngày 4 tháng 5 năm 2022</v>
      </c>
      <c r="C19" s="651"/>
      <c r="D19" s="651"/>
      <c r="E19" s="651"/>
      <c r="F19" s="651"/>
      <c r="G19" s="651"/>
      <c r="H19" s="295"/>
      <c r="I19" s="295"/>
      <c r="J19" s="295"/>
      <c r="K19" s="319"/>
      <c r="L19" s="320"/>
      <c r="M19" s="320"/>
      <c r="N19" s="319"/>
      <c r="O19" s="329" t="str">
        <f>TT!C4</f>
        <v>Tuyên Quang, ngày 4 tháng 5 năm 2022</v>
      </c>
      <c r="P19" s="329"/>
      <c r="Q19" s="329"/>
      <c r="R19" s="329"/>
      <c r="S19" s="329"/>
      <c r="T19" s="329"/>
      <c r="U19" s="329"/>
      <c r="V19" s="104"/>
      <c r="W19" s="104"/>
      <c r="X19" s="104"/>
      <c r="Y19" s="126"/>
    </row>
    <row r="20" spans="1:21" ht="16.5">
      <c r="A20" s="126"/>
      <c r="B20" s="643" t="s">
        <v>290</v>
      </c>
      <c r="C20" s="643"/>
      <c r="D20" s="643"/>
      <c r="E20" s="643"/>
      <c r="F20" s="643"/>
      <c r="G20" s="643"/>
      <c r="H20" s="296"/>
      <c r="I20" s="296"/>
      <c r="J20" s="296"/>
      <c r="K20" s="321"/>
      <c r="L20" s="321"/>
      <c r="M20" s="321"/>
      <c r="N20" s="322"/>
      <c r="O20" s="644" t="str">
        <f>TT!C5</f>
        <v>CỤC TRƯỞNG</v>
      </c>
      <c r="P20" s="644"/>
      <c r="Q20" s="644"/>
      <c r="R20" s="644"/>
      <c r="S20" s="644"/>
      <c r="T20" s="644"/>
      <c r="U20" s="644"/>
    </row>
    <row r="21" spans="1:21" ht="16.5">
      <c r="A21" s="3"/>
      <c r="B21" s="281"/>
      <c r="C21" s="281"/>
      <c r="D21" s="282"/>
      <c r="E21" s="282"/>
      <c r="F21" s="282"/>
      <c r="G21" s="281"/>
      <c r="H21" s="281"/>
      <c r="I21" s="281"/>
      <c r="J21" s="281"/>
      <c r="K21" s="282"/>
      <c r="L21" s="282"/>
      <c r="M21" s="282"/>
      <c r="N21" s="282"/>
      <c r="O21" s="282"/>
      <c r="P21" s="297"/>
      <c r="Q21" s="297"/>
      <c r="R21" s="297"/>
      <c r="S21" s="282"/>
      <c r="T21" s="282"/>
      <c r="U21" s="282"/>
    </row>
    <row r="22" spans="1:21" ht="24.75" customHeight="1">
      <c r="A22" s="3"/>
      <c r="B22" s="281"/>
      <c r="C22" s="281"/>
      <c r="D22" s="282"/>
      <c r="E22" s="282"/>
      <c r="F22" s="282"/>
      <c r="G22" s="281"/>
      <c r="H22" s="281"/>
      <c r="I22" s="281"/>
      <c r="J22" s="281"/>
      <c r="K22" s="282"/>
      <c r="L22" s="282"/>
      <c r="M22" s="282"/>
      <c r="N22" s="282"/>
      <c r="O22" s="282"/>
      <c r="P22" s="302"/>
      <c r="Q22" s="302"/>
      <c r="R22" s="302"/>
      <c r="S22" s="302"/>
      <c r="T22" s="302"/>
      <c r="U22" s="302"/>
    </row>
    <row r="23" spans="1:21" ht="16.5">
      <c r="A23" s="3"/>
      <c r="B23" s="281"/>
      <c r="C23" s="281"/>
      <c r="D23" s="282"/>
      <c r="E23" s="282"/>
      <c r="F23" s="282"/>
      <c r="G23" s="281"/>
      <c r="H23" s="281"/>
      <c r="I23" s="281"/>
      <c r="J23" s="281"/>
      <c r="K23" s="282"/>
      <c r="L23" s="282"/>
      <c r="M23" s="282"/>
      <c r="N23" s="282"/>
      <c r="O23" s="282"/>
      <c r="P23" s="302"/>
      <c r="Q23" s="302"/>
      <c r="R23" s="302"/>
      <c r="S23" s="302"/>
      <c r="T23" s="302"/>
      <c r="U23" s="302"/>
    </row>
    <row r="24" spans="1:21" ht="16.5">
      <c r="A24" s="3"/>
      <c r="B24" s="644" t="str">
        <f>TT!C6</f>
        <v>Hà Thị Mai</v>
      </c>
      <c r="C24" s="644"/>
      <c r="D24" s="644"/>
      <c r="E24" s="644"/>
      <c r="F24" s="644"/>
      <c r="G24" s="644"/>
      <c r="H24" s="297"/>
      <c r="I24" s="297"/>
      <c r="J24" s="297"/>
      <c r="K24" s="282"/>
      <c r="L24" s="282"/>
      <c r="M24" s="282"/>
      <c r="N24" s="282"/>
      <c r="O24" s="644" t="str">
        <f>TT!C3</f>
        <v>Nguyễn Tuyên</v>
      </c>
      <c r="P24" s="644"/>
      <c r="Q24" s="644"/>
      <c r="R24" s="644"/>
      <c r="S24" s="644"/>
      <c r="T24" s="644"/>
      <c r="U24" s="644"/>
    </row>
    <row r="25" spans="1:21" ht="16.5">
      <c r="A25" s="302"/>
      <c r="B25" s="302"/>
      <c r="C25" s="302"/>
      <c r="D25" s="302"/>
      <c r="E25" s="302"/>
      <c r="F25" s="302"/>
      <c r="G25" s="302"/>
      <c r="H25" s="302"/>
      <c r="I25" s="302"/>
      <c r="J25" s="302"/>
      <c r="K25" s="302"/>
      <c r="L25" s="302"/>
      <c r="M25" s="302"/>
      <c r="N25" s="302"/>
      <c r="O25" s="302"/>
      <c r="P25" s="281"/>
      <c r="Q25" s="281"/>
      <c r="R25" s="281"/>
      <c r="S25" s="282"/>
      <c r="T25" s="282"/>
      <c r="U25" s="282"/>
    </row>
    <row r="26" spans="1:21" ht="16.5">
      <c r="A26" s="302"/>
      <c r="B26" s="302"/>
      <c r="C26" s="302"/>
      <c r="D26" s="302"/>
      <c r="E26" s="302"/>
      <c r="F26" s="302"/>
      <c r="G26" s="302"/>
      <c r="H26" s="302"/>
      <c r="I26" s="302"/>
      <c r="J26" s="302"/>
      <c r="K26" s="302"/>
      <c r="L26" s="302"/>
      <c r="M26" s="302"/>
      <c r="N26" s="302"/>
      <c r="O26" s="302"/>
      <c r="P26" s="297"/>
      <c r="Q26" s="297"/>
      <c r="R26" s="297"/>
      <c r="S26" s="282"/>
      <c r="T26" s="282"/>
      <c r="U26" s="282"/>
    </row>
  </sheetData>
  <sheetProtection formatCells="0" formatColumns="0" formatRows="0" insertRows="0" deleteRows="0"/>
  <mergeCells count="46">
    <mergeCell ref="A1:E1"/>
    <mergeCell ref="R1:X1"/>
    <mergeCell ref="H2:I2"/>
    <mergeCell ref="L2:P2"/>
    <mergeCell ref="R2:X2"/>
    <mergeCell ref="F1:Q1"/>
    <mergeCell ref="K3:Q3"/>
    <mergeCell ref="R3:X3"/>
    <mergeCell ref="C4:C7"/>
    <mergeCell ref="D4:G4"/>
    <mergeCell ref="H4:J4"/>
    <mergeCell ref="K4:K7"/>
    <mergeCell ref="L4:N4"/>
    <mergeCell ref="H5:H7"/>
    <mergeCell ref="I5:I7"/>
    <mergeCell ref="J5:J7"/>
    <mergeCell ref="L5:L7"/>
    <mergeCell ref="M5:M7"/>
    <mergeCell ref="N5:N7"/>
    <mergeCell ref="O5:O7"/>
    <mergeCell ref="P5:P7"/>
    <mergeCell ref="O4:Q4"/>
    <mergeCell ref="A3:A7"/>
    <mergeCell ref="B3:B7"/>
    <mergeCell ref="B19:G19"/>
    <mergeCell ref="D5:D7"/>
    <mergeCell ref="E5:E7"/>
    <mergeCell ref="F5:F7"/>
    <mergeCell ref="G5:G7"/>
    <mergeCell ref="C3:J3"/>
    <mergeCell ref="B24:G24"/>
    <mergeCell ref="O20:U20"/>
    <mergeCell ref="O24:U24"/>
    <mergeCell ref="W5:W7"/>
    <mergeCell ref="Q5:Q7"/>
    <mergeCell ref="S5:S7"/>
    <mergeCell ref="T5:T7"/>
    <mergeCell ref="U5:U7"/>
    <mergeCell ref="V5:V7"/>
    <mergeCell ref="R4:R7"/>
    <mergeCell ref="S4:U4"/>
    <mergeCell ref="V4:X4"/>
    <mergeCell ref="A8:B8"/>
    <mergeCell ref="B20:G20"/>
    <mergeCell ref="X5:X7"/>
    <mergeCell ref="A9:B9"/>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5"/>
  <sheetViews>
    <sheetView view="pageBreakPreview" zoomScale="70" zoomScaleSheetLayoutView="70" zoomScalePageLayoutView="0" workbookViewId="0" topLeftCell="A13">
      <selection activeCell="K2" sqref="K2"/>
    </sheetView>
  </sheetViews>
  <sheetFormatPr defaultColWidth="9.00390625" defaultRowHeight="15.75"/>
  <cols>
    <col min="1" max="1" width="6.75390625" style="139" customWidth="1"/>
    <col min="2" max="2" width="30.25390625" style="128" customWidth="1"/>
    <col min="3" max="4" width="7.375" style="128" customWidth="1"/>
    <col min="5" max="5" width="6.875" style="128" customWidth="1"/>
    <col min="6" max="6" width="9.75390625" style="128" customWidth="1"/>
    <col min="7" max="7" width="7.875" style="128" customWidth="1"/>
    <col min="8" max="8" width="7.375" style="128" customWidth="1"/>
    <col min="9" max="9" width="7.875" style="128" customWidth="1"/>
    <col min="10" max="10" width="8.00390625" style="128" customWidth="1"/>
    <col min="11" max="11" width="7.875" style="128" customWidth="1"/>
    <col min="12" max="13" width="7.50390625" style="128" customWidth="1"/>
    <col min="14" max="14" width="6.875" style="128" customWidth="1"/>
    <col min="15" max="15" width="7.875" style="128" customWidth="1"/>
    <col min="16" max="16" width="7.625" style="128" customWidth="1"/>
    <col min="17" max="17" width="7.50390625" style="128" customWidth="1"/>
    <col min="18" max="18" width="6.00390625" style="128" customWidth="1"/>
    <col min="19" max="19" width="6.375" style="128" customWidth="1"/>
    <col min="20" max="20" width="7.50390625" style="128" customWidth="1"/>
    <col min="21" max="16384" width="9.00390625" style="128" customWidth="1"/>
  </cols>
  <sheetData>
    <row r="1" spans="1:20" ht="78.75" customHeight="1">
      <c r="A1" s="510" t="s">
        <v>335</v>
      </c>
      <c r="B1" s="510"/>
      <c r="C1" s="510"/>
      <c r="D1" s="510"/>
      <c r="E1" s="720" t="s">
        <v>442</v>
      </c>
      <c r="F1" s="720"/>
      <c r="G1" s="720"/>
      <c r="H1" s="720"/>
      <c r="I1" s="720"/>
      <c r="J1" s="720"/>
      <c r="K1" s="720"/>
      <c r="L1" s="720"/>
      <c r="M1" s="720"/>
      <c r="N1" s="720"/>
      <c r="O1" s="720"/>
      <c r="P1" s="508" t="str">
        <f>TT!C2</f>
        <v>Đơn vị  báo cáo: 
Cục Thi hành án dân sự tỉnh Tuyên Quang
Đơn vị nhận báo cáo: Tổng cục Thi hành án dân sự</v>
      </c>
      <c r="Q1" s="508"/>
      <c r="R1" s="508"/>
      <c r="S1" s="508"/>
      <c r="T1" s="508"/>
    </row>
    <row r="2" spans="1:20" ht="18" customHeight="1">
      <c r="A2" s="129"/>
      <c r="B2" s="6"/>
      <c r="C2" s="130"/>
      <c r="D2" s="130"/>
      <c r="G2" s="131"/>
      <c r="H2" s="132">
        <f>COUNTBLANK(C14:T14)</f>
        <v>17</v>
      </c>
      <c r="I2" s="132">
        <f>COUNTA(C14:T14)</f>
        <v>1</v>
      </c>
      <c r="J2" s="132">
        <f>H2+I2</f>
        <v>18</v>
      </c>
      <c r="K2" s="133"/>
      <c r="M2" s="134"/>
      <c r="N2" s="134"/>
      <c r="O2" s="134"/>
      <c r="P2" s="724" t="s">
        <v>98</v>
      </c>
      <c r="Q2" s="724"/>
      <c r="R2" s="724"/>
      <c r="S2" s="724"/>
      <c r="T2" s="724"/>
    </row>
    <row r="3" spans="1:20" s="135" customFormat="1" ht="19.5" customHeight="1">
      <c r="A3" s="722" t="s">
        <v>238</v>
      </c>
      <c r="B3" s="722" t="s">
        <v>157</v>
      </c>
      <c r="C3" s="725" t="s">
        <v>256</v>
      </c>
      <c r="D3" s="726"/>
      <c r="E3" s="726"/>
      <c r="F3" s="714" t="s">
        <v>257</v>
      </c>
      <c r="G3" s="714"/>
      <c r="H3" s="714"/>
      <c r="I3" s="714"/>
      <c r="J3" s="714"/>
      <c r="K3" s="714"/>
      <c r="L3" s="714"/>
      <c r="M3" s="727" t="s">
        <v>258</v>
      </c>
      <c r="N3" s="727"/>
      <c r="O3" s="727"/>
      <c r="P3" s="728"/>
      <c r="Q3" s="725" t="s">
        <v>259</v>
      </c>
      <c r="R3" s="726"/>
      <c r="S3" s="726"/>
      <c r="T3" s="729"/>
    </row>
    <row r="4" spans="1:20" s="135" customFormat="1" ht="26.25" customHeight="1">
      <c r="A4" s="723"/>
      <c r="B4" s="723"/>
      <c r="C4" s="711" t="s">
        <v>260</v>
      </c>
      <c r="D4" s="721" t="s">
        <v>4</v>
      </c>
      <c r="E4" s="721"/>
      <c r="F4" s="711" t="s">
        <v>261</v>
      </c>
      <c r="G4" s="714" t="s">
        <v>262</v>
      </c>
      <c r="H4" s="714"/>
      <c r="I4" s="714"/>
      <c r="J4" s="714"/>
      <c r="K4" s="714"/>
      <c r="L4" s="714"/>
      <c r="M4" s="705" t="s">
        <v>263</v>
      </c>
      <c r="N4" s="706"/>
      <c r="O4" s="705" t="s">
        <v>264</v>
      </c>
      <c r="P4" s="706"/>
      <c r="Q4" s="705" t="s">
        <v>265</v>
      </c>
      <c r="R4" s="706"/>
      <c r="S4" s="705" t="s">
        <v>266</v>
      </c>
      <c r="T4" s="706"/>
    </row>
    <row r="5" spans="1:20" s="135" customFormat="1" ht="19.5" customHeight="1">
      <c r="A5" s="723"/>
      <c r="B5" s="723"/>
      <c r="C5" s="712"/>
      <c r="D5" s="711" t="s">
        <v>267</v>
      </c>
      <c r="E5" s="711" t="s">
        <v>62</v>
      </c>
      <c r="F5" s="712"/>
      <c r="G5" s="714" t="s">
        <v>12</v>
      </c>
      <c r="H5" s="714"/>
      <c r="I5" s="714" t="s">
        <v>4</v>
      </c>
      <c r="J5" s="714"/>
      <c r="K5" s="714"/>
      <c r="L5" s="714"/>
      <c r="M5" s="707"/>
      <c r="N5" s="708"/>
      <c r="O5" s="707"/>
      <c r="P5" s="708"/>
      <c r="Q5" s="707"/>
      <c r="R5" s="708"/>
      <c r="S5" s="707"/>
      <c r="T5" s="708"/>
    </row>
    <row r="6" spans="1:20" s="135" customFormat="1" ht="30.75" customHeight="1">
      <c r="A6" s="723"/>
      <c r="B6" s="723"/>
      <c r="C6" s="712"/>
      <c r="D6" s="712"/>
      <c r="E6" s="712"/>
      <c r="F6" s="712"/>
      <c r="G6" s="714"/>
      <c r="H6" s="714"/>
      <c r="I6" s="714" t="s">
        <v>268</v>
      </c>
      <c r="J6" s="714"/>
      <c r="K6" s="714" t="s">
        <v>269</v>
      </c>
      <c r="L6" s="714"/>
      <c r="M6" s="709"/>
      <c r="N6" s="710"/>
      <c r="O6" s="709"/>
      <c r="P6" s="710"/>
      <c r="Q6" s="709"/>
      <c r="R6" s="710"/>
      <c r="S6" s="709"/>
      <c r="T6" s="710"/>
    </row>
    <row r="7" spans="1:20" s="135" customFormat="1" ht="32.25" customHeight="1">
      <c r="A7" s="723"/>
      <c r="B7" s="723"/>
      <c r="C7" s="713"/>
      <c r="D7" s="713"/>
      <c r="E7" s="713"/>
      <c r="F7" s="713"/>
      <c r="G7" s="341" t="s">
        <v>178</v>
      </c>
      <c r="H7" s="341" t="s">
        <v>179</v>
      </c>
      <c r="I7" s="341" t="s">
        <v>178</v>
      </c>
      <c r="J7" s="341" t="s">
        <v>179</v>
      </c>
      <c r="K7" s="342" t="s">
        <v>178</v>
      </c>
      <c r="L7" s="341" t="s">
        <v>179</v>
      </c>
      <c r="M7" s="341" t="s">
        <v>178</v>
      </c>
      <c r="N7" s="341" t="s">
        <v>179</v>
      </c>
      <c r="O7" s="341" t="s">
        <v>178</v>
      </c>
      <c r="P7" s="341" t="s">
        <v>179</v>
      </c>
      <c r="Q7" s="341" t="s">
        <v>178</v>
      </c>
      <c r="R7" s="341" t="s">
        <v>179</v>
      </c>
      <c r="S7" s="341" t="s">
        <v>178</v>
      </c>
      <c r="T7" s="341" t="s">
        <v>179</v>
      </c>
    </row>
    <row r="8" spans="1:20" s="138" customFormat="1" ht="20.25" customHeight="1">
      <c r="A8" s="715" t="s">
        <v>3</v>
      </c>
      <c r="B8" s="715"/>
      <c r="C8" s="136">
        <v>1</v>
      </c>
      <c r="D8" s="136">
        <v>2</v>
      </c>
      <c r="E8" s="136">
        <v>3</v>
      </c>
      <c r="F8" s="136">
        <v>4</v>
      </c>
      <c r="G8" s="136">
        <v>5</v>
      </c>
      <c r="H8" s="136">
        <v>6</v>
      </c>
      <c r="I8" s="136">
        <v>7</v>
      </c>
      <c r="J8" s="136">
        <v>8</v>
      </c>
      <c r="K8" s="136">
        <v>9</v>
      </c>
      <c r="L8" s="136">
        <v>10</v>
      </c>
      <c r="M8" s="136">
        <v>11</v>
      </c>
      <c r="N8" s="136">
        <v>12</v>
      </c>
      <c r="O8" s="136">
        <v>13</v>
      </c>
      <c r="P8" s="136">
        <v>14</v>
      </c>
      <c r="Q8" s="137">
        <v>15</v>
      </c>
      <c r="R8" s="137">
        <v>16</v>
      </c>
      <c r="S8" s="137">
        <v>17</v>
      </c>
      <c r="T8" s="137">
        <v>18</v>
      </c>
    </row>
    <row r="9" spans="1:20" s="343" customFormat="1" ht="32.25" customHeight="1">
      <c r="A9" s="717" t="s">
        <v>10</v>
      </c>
      <c r="B9" s="718"/>
      <c r="C9" s="424">
        <v>0</v>
      </c>
      <c r="D9" s="352"/>
      <c r="E9" s="352"/>
      <c r="F9" s="350"/>
      <c r="G9" s="350"/>
      <c r="H9" s="350"/>
      <c r="I9" s="350"/>
      <c r="J9" s="350"/>
      <c r="K9" s="350"/>
      <c r="L9" s="350"/>
      <c r="M9" s="350"/>
      <c r="N9" s="350"/>
      <c r="O9" s="350"/>
      <c r="P9" s="350"/>
      <c r="Q9" s="351"/>
      <c r="R9" s="351"/>
      <c r="S9" s="351"/>
      <c r="T9" s="351"/>
    </row>
    <row r="10" spans="1:20" s="346" customFormat="1" ht="32.25" customHeight="1">
      <c r="A10" s="344" t="s">
        <v>0</v>
      </c>
      <c r="B10" s="345" t="s">
        <v>28</v>
      </c>
      <c r="C10" s="413">
        <v>0</v>
      </c>
      <c r="D10" s="413"/>
      <c r="E10" s="413"/>
      <c r="F10" s="350"/>
      <c r="G10" s="350"/>
      <c r="H10" s="350"/>
      <c r="I10" s="350"/>
      <c r="J10" s="350"/>
      <c r="K10" s="350"/>
      <c r="L10" s="350"/>
      <c r="M10" s="350"/>
      <c r="N10" s="350"/>
      <c r="O10" s="350"/>
      <c r="P10" s="350"/>
      <c r="Q10" s="351"/>
      <c r="R10" s="351"/>
      <c r="S10" s="351"/>
      <c r="T10" s="351"/>
    </row>
    <row r="11" spans="1:20" s="346" customFormat="1" ht="32.25" customHeight="1">
      <c r="A11" s="347" t="s">
        <v>1</v>
      </c>
      <c r="B11" s="345" t="s">
        <v>8</v>
      </c>
      <c r="C11" s="413">
        <v>0</v>
      </c>
      <c r="D11" s="413"/>
      <c r="E11" s="413"/>
      <c r="F11" s="350"/>
      <c r="G11" s="350"/>
      <c r="H11" s="350"/>
      <c r="I11" s="350"/>
      <c r="J11" s="350"/>
      <c r="K11" s="350"/>
      <c r="L11" s="350"/>
      <c r="M11" s="350"/>
      <c r="N11" s="350"/>
      <c r="O11" s="350"/>
      <c r="P11" s="350"/>
      <c r="Q11" s="351"/>
      <c r="R11" s="351"/>
      <c r="S11" s="351"/>
      <c r="T11" s="351"/>
    </row>
    <row r="12" spans="1:20" s="346" customFormat="1" ht="32.25" customHeight="1">
      <c r="A12" s="348">
        <v>1</v>
      </c>
      <c r="B12" s="349" t="s">
        <v>344</v>
      </c>
      <c r="C12" s="413">
        <v>0</v>
      </c>
      <c r="D12" s="413"/>
      <c r="E12" s="413"/>
      <c r="F12" s="350"/>
      <c r="G12" s="350"/>
      <c r="H12" s="350"/>
      <c r="I12" s="350"/>
      <c r="J12" s="350"/>
      <c r="K12" s="350"/>
      <c r="L12" s="350"/>
      <c r="M12" s="350"/>
      <c r="N12" s="350"/>
      <c r="O12" s="350"/>
      <c r="P12" s="350"/>
      <c r="Q12" s="351"/>
      <c r="R12" s="351"/>
      <c r="S12" s="351"/>
      <c r="T12" s="351"/>
    </row>
    <row r="13" spans="1:20" s="346" customFormat="1" ht="32.25" customHeight="1">
      <c r="A13" s="348">
        <v>2</v>
      </c>
      <c r="B13" s="349" t="s">
        <v>345</v>
      </c>
      <c r="C13" s="413">
        <v>0</v>
      </c>
      <c r="D13" s="413"/>
      <c r="E13" s="413"/>
      <c r="F13" s="350"/>
      <c r="G13" s="350"/>
      <c r="H13" s="350"/>
      <c r="I13" s="350"/>
      <c r="J13" s="350"/>
      <c r="K13" s="350"/>
      <c r="L13" s="350"/>
      <c r="M13" s="350"/>
      <c r="N13" s="350"/>
      <c r="O13" s="350"/>
      <c r="P13" s="350"/>
      <c r="Q13" s="351"/>
      <c r="R13" s="351"/>
      <c r="S13" s="351"/>
      <c r="T13" s="351"/>
    </row>
    <row r="14" spans="1:20" s="346" customFormat="1" ht="32.25" customHeight="1">
      <c r="A14" s="348">
        <v>3</v>
      </c>
      <c r="B14" s="349" t="s">
        <v>346</v>
      </c>
      <c r="C14" s="413">
        <v>0</v>
      </c>
      <c r="D14" s="413"/>
      <c r="E14" s="413"/>
      <c r="F14" s="353"/>
      <c r="G14" s="352"/>
      <c r="H14" s="352"/>
      <c r="I14" s="352"/>
      <c r="J14" s="352"/>
      <c r="K14" s="353"/>
      <c r="L14" s="353"/>
      <c r="M14" s="353"/>
      <c r="N14" s="353"/>
      <c r="O14" s="353"/>
      <c r="P14" s="353"/>
      <c r="Q14" s="354"/>
      <c r="R14" s="354"/>
      <c r="S14" s="354"/>
      <c r="T14" s="354"/>
    </row>
    <row r="15" spans="1:20" s="346" customFormat="1" ht="32.25" customHeight="1">
      <c r="A15" s="348">
        <v>4</v>
      </c>
      <c r="B15" s="349" t="s">
        <v>347</v>
      </c>
      <c r="C15" s="413">
        <v>0</v>
      </c>
      <c r="D15" s="413"/>
      <c r="E15" s="413"/>
      <c r="F15" s="353"/>
      <c r="G15" s="352"/>
      <c r="H15" s="352"/>
      <c r="I15" s="352"/>
      <c r="J15" s="352"/>
      <c r="K15" s="353"/>
      <c r="L15" s="353"/>
      <c r="M15" s="353"/>
      <c r="N15" s="353"/>
      <c r="O15" s="353"/>
      <c r="P15" s="353"/>
      <c r="Q15" s="354"/>
      <c r="R15" s="354"/>
      <c r="S15" s="354"/>
      <c r="T15" s="354"/>
    </row>
    <row r="16" spans="1:20" s="346" customFormat="1" ht="32.25" customHeight="1">
      <c r="A16" s="348">
        <v>5</v>
      </c>
      <c r="B16" s="349" t="s">
        <v>348</v>
      </c>
      <c r="C16" s="413">
        <v>0</v>
      </c>
      <c r="D16" s="413"/>
      <c r="E16" s="413"/>
      <c r="F16" s="353"/>
      <c r="G16" s="352"/>
      <c r="H16" s="352"/>
      <c r="I16" s="352"/>
      <c r="J16" s="352"/>
      <c r="K16" s="353"/>
      <c r="L16" s="353"/>
      <c r="M16" s="353"/>
      <c r="N16" s="353"/>
      <c r="O16" s="353"/>
      <c r="P16" s="353"/>
      <c r="Q16" s="354"/>
      <c r="R16" s="354"/>
      <c r="S16" s="354"/>
      <c r="T16" s="354"/>
    </row>
    <row r="17" spans="1:20" s="346" customFormat="1" ht="32.25" customHeight="1">
      <c r="A17" s="348">
        <v>6</v>
      </c>
      <c r="B17" s="349" t="s">
        <v>401</v>
      </c>
      <c r="C17" s="413">
        <v>0</v>
      </c>
      <c r="D17" s="413"/>
      <c r="E17" s="413"/>
      <c r="F17" s="353"/>
      <c r="G17" s="352"/>
      <c r="H17" s="352"/>
      <c r="I17" s="352"/>
      <c r="J17" s="352"/>
      <c r="K17" s="353"/>
      <c r="L17" s="353"/>
      <c r="M17" s="353"/>
      <c r="N17" s="353"/>
      <c r="O17" s="353"/>
      <c r="P17" s="353"/>
      <c r="Q17" s="354"/>
      <c r="R17" s="354"/>
      <c r="S17" s="354"/>
      <c r="T17" s="354"/>
    </row>
    <row r="18" spans="1:20" s="346" customFormat="1" ht="32.25" customHeight="1">
      <c r="A18" s="348">
        <v>7</v>
      </c>
      <c r="B18" s="349" t="s">
        <v>350</v>
      </c>
      <c r="C18" s="413">
        <v>0</v>
      </c>
      <c r="D18" s="414"/>
      <c r="E18" s="413"/>
      <c r="F18" s="353"/>
      <c r="G18" s="353"/>
      <c r="H18" s="353"/>
      <c r="I18" s="353"/>
      <c r="J18" s="353"/>
      <c r="K18" s="353"/>
      <c r="L18" s="353"/>
      <c r="M18" s="353"/>
      <c r="N18" s="353"/>
      <c r="O18" s="353"/>
      <c r="P18" s="353"/>
      <c r="Q18" s="354"/>
      <c r="R18" s="354"/>
      <c r="S18" s="354"/>
      <c r="T18" s="354"/>
    </row>
    <row r="19" spans="1:20" s="140" customFormat="1" ht="23.25" customHeight="1">
      <c r="A19" s="213"/>
      <c r="B19" s="651" t="str">
        <f>TT!C7</f>
        <v>Tuyên Quang, ngày 4 tháng 5 năm 2022</v>
      </c>
      <c r="C19" s="651"/>
      <c r="D19" s="651"/>
      <c r="E19" s="651"/>
      <c r="F19" s="651"/>
      <c r="G19" s="651"/>
      <c r="H19" s="295"/>
      <c r="I19" s="295"/>
      <c r="J19" s="295"/>
      <c r="K19" s="319"/>
      <c r="L19" s="320"/>
      <c r="M19" s="719" t="str">
        <f>TT!C4</f>
        <v>Tuyên Quang, ngày 4 tháng 5 năm 2022</v>
      </c>
      <c r="N19" s="719"/>
      <c r="O19" s="719"/>
      <c r="P19" s="719"/>
      <c r="Q19" s="719"/>
      <c r="R19" s="719"/>
      <c r="S19" s="719"/>
      <c r="T19" s="329"/>
    </row>
    <row r="20" spans="1:20" s="140" customFormat="1" ht="23.25" customHeight="1">
      <c r="A20" s="126"/>
      <c r="B20" s="643" t="s">
        <v>290</v>
      </c>
      <c r="C20" s="643"/>
      <c r="D20" s="643"/>
      <c r="E20" s="643"/>
      <c r="F20" s="643"/>
      <c r="G20" s="643"/>
      <c r="H20" s="296"/>
      <c r="I20" s="296"/>
      <c r="J20" s="296"/>
      <c r="K20" s="321"/>
      <c r="L20" s="321"/>
      <c r="M20" s="644" t="str">
        <f>TT!C5</f>
        <v>CỤC TRƯỞNG</v>
      </c>
      <c r="N20" s="644"/>
      <c r="O20" s="644"/>
      <c r="P20" s="644"/>
      <c r="Q20" s="644"/>
      <c r="R20" s="644"/>
      <c r="S20" s="644"/>
      <c r="T20" s="297"/>
    </row>
    <row r="21" spans="1:20" s="140" customFormat="1" ht="23.25" customHeight="1">
      <c r="A21" s="3"/>
      <c r="B21" s="281"/>
      <c r="C21" s="281"/>
      <c r="D21" s="282"/>
      <c r="E21" s="282"/>
      <c r="F21" s="282"/>
      <c r="G21" s="281"/>
      <c r="H21" s="281"/>
      <c r="I21" s="281"/>
      <c r="J21" s="281"/>
      <c r="K21" s="282"/>
      <c r="L21" s="282"/>
      <c r="M21" s="282"/>
      <c r="N21" s="282"/>
      <c r="P21" s="297"/>
      <c r="Q21" s="297"/>
      <c r="R21" s="297"/>
      <c r="S21" s="282"/>
      <c r="T21" s="282"/>
    </row>
    <row r="22" spans="1:20" s="140" customFormat="1" ht="23.25" customHeight="1">
      <c r="A22" s="3"/>
      <c r="B22" s="281"/>
      <c r="C22" s="281"/>
      <c r="D22" s="282"/>
      <c r="E22" s="282"/>
      <c r="F22" s="282"/>
      <c r="G22" s="281"/>
      <c r="H22" s="281"/>
      <c r="I22" s="281"/>
      <c r="J22" s="281"/>
      <c r="K22" s="282"/>
      <c r="L22" s="282"/>
      <c r="M22" s="282"/>
      <c r="N22" s="282"/>
      <c r="P22" s="302"/>
      <c r="Q22" s="302"/>
      <c r="R22" s="302"/>
      <c r="S22" s="302"/>
      <c r="T22" s="302"/>
    </row>
    <row r="23" spans="1:20" s="140" customFormat="1" ht="23.25" customHeight="1">
      <c r="A23" s="3"/>
      <c r="B23" s="281"/>
      <c r="C23" s="281"/>
      <c r="D23" s="282"/>
      <c r="E23" s="282"/>
      <c r="F23" s="282"/>
      <c r="G23" s="281"/>
      <c r="H23" s="281"/>
      <c r="I23" s="281"/>
      <c r="J23" s="281"/>
      <c r="K23" s="282"/>
      <c r="L23" s="282"/>
      <c r="M23" s="282"/>
      <c r="N23" s="282"/>
      <c r="P23" s="302"/>
      <c r="Q23" s="302"/>
      <c r="R23" s="302"/>
      <c r="S23" s="302"/>
      <c r="T23" s="302"/>
    </row>
    <row r="24" spans="1:20" s="140" customFormat="1" ht="23.25" customHeight="1">
      <c r="A24" s="3"/>
      <c r="B24" s="644" t="str">
        <f>TT!C6</f>
        <v>Hà Thị Mai</v>
      </c>
      <c r="C24" s="644"/>
      <c r="D24" s="644"/>
      <c r="E24" s="644"/>
      <c r="F24" s="644"/>
      <c r="G24" s="644"/>
      <c r="H24" s="297"/>
      <c r="I24" s="297"/>
      <c r="J24" s="297"/>
      <c r="K24" s="282"/>
      <c r="L24" s="282"/>
      <c r="M24" s="644" t="str">
        <f>TT!C3</f>
        <v>Nguyễn Tuyên</v>
      </c>
      <c r="N24" s="644"/>
      <c r="O24" s="644"/>
      <c r="P24" s="644"/>
      <c r="Q24" s="644"/>
      <c r="R24" s="644"/>
      <c r="S24" s="644"/>
      <c r="T24" s="297"/>
    </row>
    <row r="25" spans="1:17" s="150" customFormat="1" ht="23.25" customHeight="1">
      <c r="A25" s="145"/>
      <c r="B25" s="146"/>
      <c r="C25" s="146"/>
      <c r="D25" s="146"/>
      <c r="E25" s="146"/>
      <c r="F25" s="147"/>
      <c r="G25" s="147"/>
      <c r="H25" s="147"/>
      <c r="I25" s="148"/>
      <c r="J25" s="148"/>
      <c r="K25" s="146"/>
      <c r="L25" s="146"/>
      <c r="M25" s="146"/>
      <c r="N25" s="146"/>
      <c r="O25" s="146"/>
      <c r="P25" s="146"/>
      <c r="Q25" s="149"/>
    </row>
    <row r="26" spans="1:17" s="150" customFormat="1" ht="15" customHeight="1">
      <c r="A26" s="140"/>
      <c r="B26" s="143"/>
      <c r="C26" s="143"/>
      <c r="D26" s="143"/>
      <c r="E26" s="143"/>
      <c r="F26" s="143"/>
      <c r="G26" s="143"/>
      <c r="H26" s="143"/>
      <c r="K26" s="144"/>
      <c r="L26" s="144"/>
      <c r="M26" s="143"/>
      <c r="N26" s="143"/>
      <c r="O26" s="143"/>
      <c r="P26" s="143"/>
      <c r="Q26" s="149"/>
    </row>
    <row r="27" spans="2:16" s="140" customFormat="1" ht="15" customHeight="1">
      <c r="B27" s="142"/>
      <c r="C27" s="142"/>
      <c r="D27" s="141"/>
      <c r="E27" s="151"/>
      <c r="F27" s="151"/>
      <c r="G27" s="151"/>
      <c r="H27" s="151"/>
      <c r="I27" s="152"/>
      <c r="J27" s="152"/>
      <c r="K27" s="152"/>
      <c r="L27" s="152"/>
      <c r="M27" s="152"/>
      <c r="N27" s="152"/>
      <c r="O27" s="152"/>
      <c r="P27" s="152"/>
    </row>
    <row r="28" spans="2:16" s="140" customFormat="1" ht="15" customHeight="1">
      <c r="B28" s="142"/>
      <c r="C28" s="142"/>
      <c r="D28" s="141"/>
      <c r="E28" s="151"/>
      <c r="F28" s="151"/>
      <c r="G28" s="151"/>
      <c r="H28" s="151"/>
      <c r="I28" s="152"/>
      <c r="J28" s="152"/>
      <c r="K28" s="152"/>
      <c r="L28" s="152"/>
      <c r="M28" s="152"/>
      <c r="N28" s="152"/>
      <c r="O28" s="152"/>
      <c r="P28" s="152"/>
    </row>
    <row r="29" spans="2:16" ht="16.5">
      <c r="B29" s="153"/>
      <c r="C29" s="153"/>
      <c r="D29" s="153"/>
      <c r="E29" s="153"/>
      <c r="F29" s="153"/>
      <c r="G29" s="153"/>
      <c r="H29" s="153"/>
      <c r="I29" s="153"/>
      <c r="J29" s="153"/>
      <c r="K29" s="153"/>
      <c r="L29" s="153"/>
      <c r="M29" s="153"/>
      <c r="N29" s="153"/>
      <c r="O29" s="153"/>
      <c r="P29" s="153"/>
    </row>
    <row r="32" s="155" customFormat="1" ht="12.75" hidden="1">
      <c r="A32" s="154" t="s">
        <v>270</v>
      </c>
    </row>
    <row r="33" spans="1:19" s="155" customFormat="1" ht="15" customHeight="1" hidden="1">
      <c r="A33" s="156"/>
      <c r="B33" s="716" t="s">
        <v>271</v>
      </c>
      <c r="C33" s="716"/>
      <c r="D33" s="716"/>
      <c r="E33" s="716"/>
      <c r="F33" s="716"/>
      <c r="G33" s="716"/>
      <c r="H33" s="716"/>
      <c r="I33" s="716"/>
      <c r="J33" s="716"/>
      <c r="K33" s="716"/>
      <c r="L33" s="716"/>
      <c r="M33" s="716"/>
      <c r="N33" s="157"/>
      <c r="O33" s="156"/>
      <c r="P33" s="156"/>
      <c r="Q33" s="158"/>
      <c r="R33" s="158"/>
      <c r="S33" s="158"/>
    </row>
    <row r="34" s="155" customFormat="1" ht="12.75" hidden="1">
      <c r="B34" s="155" t="s">
        <v>272</v>
      </c>
    </row>
    <row r="35" ht="15.75" hidden="1">
      <c r="B35" s="149" t="s">
        <v>273</v>
      </c>
    </row>
  </sheetData>
  <sheetProtection formatCells="0" formatColumns="0" formatRows="0" insertRows="0" deleteRows="0"/>
  <mergeCells count="33">
    <mergeCell ref="A1:D1"/>
    <mergeCell ref="E1:O1"/>
    <mergeCell ref="C4:C7"/>
    <mergeCell ref="D4:E4"/>
    <mergeCell ref="F4:F7"/>
    <mergeCell ref="G4:L4"/>
    <mergeCell ref="M4:N6"/>
    <mergeCell ref="O4:P6"/>
    <mergeCell ref="A3:A7"/>
    <mergeCell ref="B3:B7"/>
    <mergeCell ref="P1:T1"/>
    <mergeCell ref="P2:T2"/>
    <mergeCell ref="C3:E3"/>
    <mergeCell ref="F3:L3"/>
    <mergeCell ref="M3:P3"/>
    <mergeCell ref="Q3:T3"/>
    <mergeCell ref="A8:B8"/>
    <mergeCell ref="B19:G19"/>
    <mergeCell ref="B33:M33"/>
    <mergeCell ref="A9:B9"/>
    <mergeCell ref="B20:G20"/>
    <mergeCell ref="B24:G24"/>
    <mergeCell ref="M19:S19"/>
    <mergeCell ref="M20:S20"/>
    <mergeCell ref="M24:S24"/>
    <mergeCell ref="Q4:R6"/>
    <mergeCell ref="S4:T6"/>
    <mergeCell ref="D5:D7"/>
    <mergeCell ref="E5:E7"/>
    <mergeCell ref="G5:H6"/>
    <mergeCell ref="I5:L5"/>
    <mergeCell ref="I6:J6"/>
    <mergeCell ref="K6:L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32"/>
  <sheetViews>
    <sheetView view="pageBreakPreview" zoomScale="85" zoomScaleSheetLayoutView="85" zoomScalePageLayoutView="0" workbookViewId="0" topLeftCell="B4">
      <selection activeCell="H15" sqref="H15"/>
    </sheetView>
  </sheetViews>
  <sheetFormatPr defaultColWidth="9.00390625" defaultRowHeight="15.75"/>
  <cols>
    <col min="1" max="1" width="4.125" style="140" customWidth="1"/>
    <col min="2" max="2" width="15.625" style="140" customWidth="1"/>
    <col min="3" max="3" width="9.625" style="140" customWidth="1"/>
    <col min="4" max="4" width="6.75390625" style="140" customWidth="1"/>
    <col min="5" max="5" width="7.875" style="140" customWidth="1"/>
    <col min="6" max="6" width="8.00390625" style="140" customWidth="1"/>
    <col min="7" max="7" width="8.125" style="140" customWidth="1"/>
    <col min="8" max="8" width="10.00390625" style="140" customWidth="1"/>
    <col min="9" max="10" width="9.00390625" style="140" customWidth="1"/>
    <col min="11" max="11" width="8.50390625" style="140" customWidth="1"/>
    <col min="12" max="12" width="9.50390625" style="140" customWidth="1"/>
    <col min="13" max="13" width="7.125" style="140" customWidth="1"/>
    <col min="14" max="14" width="9.50390625" style="140" customWidth="1"/>
    <col min="15" max="18" width="9.00390625" style="140" customWidth="1"/>
    <col min="19" max="19" width="9.375" style="140" customWidth="1"/>
    <col min="20" max="20" width="7.375" style="140" customWidth="1"/>
    <col min="21" max="21" width="7.50390625" style="140" customWidth="1"/>
    <col min="22" max="22" width="11.125" style="140" customWidth="1"/>
    <col min="23" max="16384" width="9.00390625" style="140" customWidth="1"/>
  </cols>
  <sheetData>
    <row r="1" spans="1:22" ht="71.25" customHeight="1">
      <c r="A1" s="510" t="s">
        <v>336</v>
      </c>
      <c r="B1" s="510"/>
      <c r="C1" s="510"/>
      <c r="D1" s="510"/>
      <c r="E1" s="510"/>
      <c r="F1" s="730" t="s">
        <v>443</v>
      </c>
      <c r="G1" s="730"/>
      <c r="H1" s="730"/>
      <c r="I1" s="730"/>
      <c r="J1" s="730"/>
      <c r="K1" s="730"/>
      <c r="L1" s="730"/>
      <c r="M1" s="730"/>
      <c r="N1" s="730"/>
      <c r="O1" s="730"/>
      <c r="P1" s="730"/>
      <c r="Q1" s="730"/>
      <c r="R1" s="508" t="str">
        <f>TT!C2</f>
        <v>Đơn vị  báo cáo: 
Cục Thi hành án dân sự tỉnh Tuyên Quang
Đơn vị nhận báo cáo: Tổng cục Thi hành án dân sự</v>
      </c>
      <c r="S1" s="508"/>
      <c r="T1" s="508"/>
      <c r="U1" s="508"/>
      <c r="V1" s="508"/>
    </row>
    <row r="2" spans="1:22" ht="18.75" customHeight="1">
      <c r="A2" s="25"/>
      <c r="B2" s="159"/>
      <c r="C2" s="160"/>
      <c r="D2" s="160"/>
      <c r="E2" s="160"/>
      <c r="F2" s="160"/>
      <c r="G2" s="160"/>
      <c r="H2" s="160"/>
      <c r="I2" s="161"/>
      <c r="J2" s="42">
        <f>COUNTBLANK(C12:V12)</f>
        <v>5</v>
      </c>
      <c r="K2" s="42">
        <f>COUNTA(C12:V12)</f>
        <v>15</v>
      </c>
      <c r="L2" s="42">
        <f>J2+K2</f>
        <v>20</v>
      </c>
      <c r="M2" s="162"/>
      <c r="R2" s="731" t="s">
        <v>274</v>
      </c>
      <c r="S2" s="731"/>
      <c r="T2" s="731"/>
      <c r="U2" s="731"/>
      <c r="V2" s="731"/>
    </row>
    <row r="3" spans="1:24" s="145" customFormat="1" ht="18.75" customHeight="1">
      <c r="A3" s="690" t="s">
        <v>238</v>
      </c>
      <c r="B3" s="690" t="s">
        <v>157</v>
      </c>
      <c r="C3" s="732" t="s">
        <v>275</v>
      </c>
      <c r="D3" s="732" t="s">
        <v>4</v>
      </c>
      <c r="E3" s="732"/>
      <c r="F3" s="732"/>
      <c r="G3" s="732"/>
      <c r="H3" s="732" t="s">
        <v>276</v>
      </c>
      <c r="I3" s="690" t="s">
        <v>4</v>
      </c>
      <c r="J3" s="690"/>
      <c r="K3" s="690"/>
      <c r="L3" s="690"/>
      <c r="M3" s="690" t="s">
        <v>277</v>
      </c>
      <c r="N3" s="690"/>
      <c r="O3" s="690"/>
      <c r="P3" s="690"/>
      <c r="Q3" s="690"/>
      <c r="R3" s="690"/>
      <c r="S3" s="690"/>
      <c r="T3" s="690"/>
      <c r="U3" s="690"/>
      <c r="V3" s="690"/>
      <c r="X3" s="163"/>
    </row>
    <row r="4" spans="1:22" s="145" customFormat="1" ht="20.25" customHeight="1">
      <c r="A4" s="690"/>
      <c r="B4" s="690"/>
      <c r="C4" s="732"/>
      <c r="D4" s="732" t="s">
        <v>278</v>
      </c>
      <c r="E4" s="732" t="s">
        <v>4</v>
      </c>
      <c r="F4" s="732"/>
      <c r="G4" s="732" t="s">
        <v>279</v>
      </c>
      <c r="H4" s="732"/>
      <c r="I4" s="690" t="s">
        <v>280</v>
      </c>
      <c r="J4" s="690" t="s">
        <v>281</v>
      </c>
      <c r="K4" s="690" t="s">
        <v>282</v>
      </c>
      <c r="L4" s="690" t="s">
        <v>283</v>
      </c>
      <c r="M4" s="690" t="s">
        <v>12</v>
      </c>
      <c r="N4" s="690" t="s">
        <v>4</v>
      </c>
      <c r="O4" s="690"/>
      <c r="P4" s="690"/>
      <c r="Q4" s="690"/>
      <c r="R4" s="690"/>
      <c r="S4" s="690"/>
      <c r="T4" s="690"/>
      <c r="U4" s="690"/>
      <c r="V4" s="690" t="s">
        <v>284</v>
      </c>
    </row>
    <row r="5" spans="1:25" s="145" customFormat="1" ht="23.25" customHeight="1">
      <c r="A5" s="690"/>
      <c r="B5" s="690"/>
      <c r="C5" s="732"/>
      <c r="D5" s="732"/>
      <c r="E5" s="732" t="s">
        <v>268</v>
      </c>
      <c r="F5" s="732" t="s">
        <v>62</v>
      </c>
      <c r="G5" s="732"/>
      <c r="H5" s="732"/>
      <c r="I5" s="690"/>
      <c r="J5" s="690"/>
      <c r="K5" s="690"/>
      <c r="L5" s="690"/>
      <c r="M5" s="690"/>
      <c r="N5" s="690" t="s">
        <v>285</v>
      </c>
      <c r="O5" s="690" t="s">
        <v>4</v>
      </c>
      <c r="P5" s="690"/>
      <c r="Q5" s="690"/>
      <c r="R5" s="690"/>
      <c r="S5" s="690" t="s">
        <v>286</v>
      </c>
      <c r="T5" s="690" t="s">
        <v>4</v>
      </c>
      <c r="U5" s="690"/>
      <c r="V5" s="690"/>
      <c r="Y5" s="164"/>
    </row>
    <row r="6" spans="1:22" s="145" customFormat="1" ht="33" customHeight="1">
      <c r="A6" s="690"/>
      <c r="B6" s="690"/>
      <c r="C6" s="732"/>
      <c r="D6" s="732"/>
      <c r="E6" s="732"/>
      <c r="F6" s="732"/>
      <c r="G6" s="732"/>
      <c r="H6" s="732"/>
      <c r="I6" s="690"/>
      <c r="J6" s="690"/>
      <c r="K6" s="690"/>
      <c r="L6" s="690"/>
      <c r="M6" s="690"/>
      <c r="N6" s="690"/>
      <c r="O6" s="690" t="s">
        <v>287</v>
      </c>
      <c r="P6" s="690"/>
      <c r="Q6" s="690" t="s">
        <v>62</v>
      </c>
      <c r="R6" s="690"/>
      <c r="S6" s="690"/>
      <c r="T6" s="690"/>
      <c r="U6" s="690"/>
      <c r="V6" s="690"/>
    </row>
    <row r="7" spans="1:22" ht="68.25" customHeight="1">
      <c r="A7" s="690"/>
      <c r="B7" s="690"/>
      <c r="C7" s="732"/>
      <c r="D7" s="732"/>
      <c r="E7" s="732"/>
      <c r="F7" s="732"/>
      <c r="G7" s="732"/>
      <c r="H7" s="732"/>
      <c r="I7" s="690"/>
      <c r="J7" s="690"/>
      <c r="K7" s="690"/>
      <c r="L7" s="690"/>
      <c r="M7" s="690"/>
      <c r="N7" s="690"/>
      <c r="O7" s="356" t="s">
        <v>288</v>
      </c>
      <c r="P7" s="356" t="s">
        <v>289</v>
      </c>
      <c r="Q7" s="356" t="s">
        <v>288</v>
      </c>
      <c r="R7" s="356" t="s">
        <v>289</v>
      </c>
      <c r="S7" s="690"/>
      <c r="T7" s="357" t="s">
        <v>268</v>
      </c>
      <c r="U7" s="357" t="s">
        <v>62</v>
      </c>
      <c r="V7" s="690"/>
    </row>
    <row r="8" spans="1:22" ht="19.5" customHeight="1">
      <c r="A8" s="733" t="s">
        <v>3</v>
      </c>
      <c r="B8" s="733"/>
      <c r="C8" s="173">
        <v>1</v>
      </c>
      <c r="D8" s="173">
        <v>2</v>
      </c>
      <c r="E8" s="173">
        <v>3</v>
      </c>
      <c r="F8" s="173">
        <v>4</v>
      </c>
      <c r="G8" s="173">
        <v>5</v>
      </c>
      <c r="H8" s="173">
        <v>6</v>
      </c>
      <c r="I8" s="173">
        <v>7</v>
      </c>
      <c r="J8" s="173">
        <v>8</v>
      </c>
      <c r="K8" s="173">
        <v>9</v>
      </c>
      <c r="L8" s="173">
        <v>10</v>
      </c>
      <c r="M8" s="173">
        <v>11</v>
      </c>
      <c r="N8" s="173">
        <v>12</v>
      </c>
      <c r="O8" s="173">
        <v>13</v>
      </c>
      <c r="P8" s="173">
        <v>14</v>
      </c>
      <c r="Q8" s="173">
        <v>15</v>
      </c>
      <c r="R8" s="173">
        <v>16</v>
      </c>
      <c r="S8" s="173">
        <v>17</v>
      </c>
      <c r="T8" s="173">
        <v>18</v>
      </c>
      <c r="U8" s="173">
        <v>19</v>
      </c>
      <c r="V8" s="173">
        <v>20</v>
      </c>
    </row>
    <row r="9" spans="1:22" s="360" customFormat="1" ht="24" customHeight="1">
      <c r="A9" s="734" t="s">
        <v>12</v>
      </c>
      <c r="B9" s="735"/>
      <c r="C9" s="408">
        <f>SUM(C10:C11)</f>
        <v>44</v>
      </c>
      <c r="D9" s="408">
        <f aca="true" t="shared" si="0" ref="D9:V9">SUM(D10:D11)</f>
        <v>5</v>
      </c>
      <c r="E9" s="408">
        <f t="shared" si="0"/>
        <v>0</v>
      </c>
      <c r="F9" s="408">
        <f t="shared" si="0"/>
        <v>5</v>
      </c>
      <c r="G9" s="408">
        <f t="shared" si="0"/>
        <v>39</v>
      </c>
      <c r="H9" s="408">
        <f t="shared" si="0"/>
        <v>2</v>
      </c>
      <c r="I9" s="408">
        <f t="shared" si="0"/>
        <v>3</v>
      </c>
      <c r="J9" s="408">
        <f t="shared" si="0"/>
        <v>2</v>
      </c>
      <c r="K9" s="408">
        <f t="shared" si="0"/>
        <v>2</v>
      </c>
      <c r="L9" s="408">
        <f t="shared" si="0"/>
        <v>1</v>
      </c>
      <c r="M9" s="408">
        <f t="shared" si="0"/>
        <v>5</v>
      </c>
      <c r="N9" s="408">
        <f t="shared" si="0"/>
        <v>5</v>
      </c>
      <c r="O9" s="408">
        <f t="shared" si="0"/>
        <v>0</v>
      </c>
      <c r="P9" s="408">
        <f t="shared" si="0"/>
        <v>0</v>
      </c>
      <c r="Q9" s="408">
        <f t="shared" si="0"/>
        <v>3</v>
      </c>
      <c r="R9" s="408">
        <f t="shared" si="0"/>
        <v>2</v>
      </c>
      <c r="S9" s="408">
        <f t="shared" si="0"/>
        <v>0</v>
      </c>
      <c r="T9" s="408">
        <f t="shared" si="0"/>
        <v>0</v>
      </c>
      <c r="U9" s="408">
        <f t="shared" si="0"/>
        <v>0</v>
      </c>
      <c r="V9" s="408">
        <f t="shared" si="0"/>
        <v>0</v>
      </c>
    </row>
    <row r="10" spans="1:22" s="360" customFormat="1" ht="24" customHeight="1">
      <c r="A10" s="361" t="s">
        <v>0</v>
      </c>
      <c r="B10" s="362" t="s">
        <v>237</v>
      </c>
      <c r="C10" s="358">
        <v>44</v>
      </c>
      <c r="D10" s="358">
        <v>5</v>
      </c>
      <c r="E10" s="358">
        <v>0</v>
      </c>
      <c r="F10" s="358">
        <v>5</v>
      </c>
      <c r="G10" s="358">
        <v>39</v>
      </c>
      <c r="H10" s="358">
        <v>2</v>
      </c>
      <c r="I10" s="358">
        <v>3</v>
      </c>
      <c r="J10" s="358">
        <v>2</v>
      </c>
      <c r="K10" s="358">
        <v>2</v>
      </c>
      <c r="L10" s="358">
        <v>1</v>
      </c>
      <c r="M10" s="358">
        <v>5</v>
      </c>
      <c r="N10" s="358">
        <v>5</v>
      </c>
      <c r="O10" s="359">
        <v>0</v>
      </c>
      <c r="P10" s="359">
        <v>0</v>
      </c>
      <c r="Q10" s="359">
        <v>3</v>
      </c>
      <c r="R10" s="359">
        <v>2</v>
      </c>
      <c r="S10" s="358">
        <v>0</v>
      </c>
      <c r="T10" s="358">
        <v>0</v>
      </c>
      <c r="U10" s="358">
        <v>0</v>
      </c>
      <c r="V10" s="358">
        <v>0</v>
      </c>
    </row>
    <row r="11" spans="1:22" s="360" customFormat="1" ht="24" customHeight="1">
      <c r="A11" s="361" t="s">
        <v>1</v>
      </c>
      <c r="B11" s="362" t="s">
        <v>8</v>
      </c>
      <c r="C11" s="363">
        <f>SUM(C12:C18)</f>
        <v>0</v>
      </c>
      <c r="D11" s="363">
        <f aca="true" t="shared" si="1" ref="D11:V11">SUM(D12:D18)</f>
        <v>0</v>
      </c>
      <c r="E11" s="363">
        <f t="shared" si="1"/>
        <v>0</v>
      </c>
      <c r="F11" s="363">
        <f t="shared" si="1"/>
        <v>0</v>
      </c>
      <c r="G11" s="363">
        <f t="shared" si="1"/>
        <v>0</v>
      </c>
      <c r="H11" s="363">
        <f t="shared" si="1"/>
        <v>0</v>
      </c>
      <c r="I11" s="363">
        <f t="shared" si="1"/>
        <v>0</v>
      </c>
      <c r="J11" s="363">
        <f t="shared" si="1"/>
        <v>0</v>
      </c>
      <c r="K11" s="363">
        <f t="shared" si="1"/>
        <v>0</v>
      </c>
      <c r="L11" s="363">
        <f t="shared" si="1"/>
        <v>0</v>
      </c>
      <c r="M11" s="363">
        <f t="shared" si="1"/>
        <v>0</v>
      </c>
      <c r="N11" s="363">
        <f t="shared" si="1"/>
        <v>0</v>
      </c>
      <c r="O11" s="363">
        <f t="shared" si="1"/>
        <v>0</v>
      </c>
      <c r="P11" s="363">
        <f t="shared" si="1"/>
        <v>0</v>
      </c>
      <c r="Q11" s="363">
        <f t="shared" si="1"/>
        <v>0</v>
      </c>
      <c r="R11" s="363">
        <f t="shared" si="1"/>
        <v>0</v>
      </c>
      <c r="S11" s="363">
        <f t="shared" si="1"/>
        <v>0</v>
      </c>
      <c r="T11" s="363">
        <f t="shared" si="1"/>
        <v>0</v>
      </c>
      <c r="U11" s="363">
        <f t="shared" si="1"/>
        <v>0</v>
      </c>
      <c r="V11" s="363">
        <f t="shared" si="1"/>
        <v>0</v>
      </c>
    </row>
    <row r="12" spans="1:22" s="360" customFormat="1" ht="24" customHeight="1">
      <c r="A12" s="361">
        <v>1</v>
      </c>
      <c r="B12" s="361" t="s">
        <v>344</v>
      </c>
      <c r="C12" s="363">
        <v>0</v>
      </c>
      <c r="D12" s="363"/>
      <c r="E12" s="363">
        <v>0</v>
      </c>
      <c r="F12" s="358"/>
      <c r="G12" s="358">
        <v>0</v>
      </c>
      <c r="H12" s="358">
        <v>0</v>
      </c>
      <c r="I12" s="358">
        <v>0</v>
      </c>
      <c r="J12" s="358">
        <v>0</v>
      </c>
      <c r="K12" s="358">
        <v>0</v>
      </c>
      <c r="L12" s="358">
        <v>0</v>
      </c>
      <c r="M12" s="363"/>
      <c r="N12" s="363"/>
      <c r="O12" s="364">
        <v>0</v>
      </c>
      <c r="P12" s="364">
        <v>0</v>
      </c>
      <c r="Q12" s="364">
        <v>0</v>
      </c>
      <c r="R12" s="359"/>
      <c r="S12" s="363">
        <v>0</v>
      </c>
      <c r="T12" s="363">
        <v>0</v>
      </c>
      <c r="U12" s="358">
        <v>0</v>
      </c>
      <c r="V12" s="358">
        <v>0</v>
      </c>
    </row>
    <row r="13" spans="1:22" s="360" customFormat="1" ht="24" customHeight="1">
      <c r="A13" s="361">
        <v>2</v>
      </c>
      <c r="B13" s="361" t="s">
        <v>345</v>
      </c>
      <c r="C13" s="363">
        <v>0</v>
      </c>
      <c r="D13" s="363"/>
      <c r="E13" s="363"/>
      <c r="F13" s="358"/>
      <c r="G13" s="358"/>
      <c r="H13" s="358"/>
      <c r="I13" s="358"/>
      <c r="J13" s="358"/>
      <c r="K13" s="358"/>
      <c r="L13" s="358"/>
      <c r="M13" s="363"/>
      <c r="N13" s="363"/>
      <c r="O13" s="364"/>
      <c r="P13" s="364"/>
      <c r="Q13" s="364"/>
      <c r="R13" s="359"/>
      <c r="S13" s="363"/>
      <c r="T13" s="363"/>
      <c r="U13" s="358"/>
      <c r="V13" s="358"/>
    </row>
    <row r="14" spans="1:22" s="360" customFormat="1" ht="24" customHeight="1">
      <c r="A14" s="361">
        <v>3</v>
      </c>
      <c r="B14" s="361" t="s">
        <v>346</v>
      </c>
      <c r="C14" s="363">
        <v>0</v>
      </c>
      <c r="D14" s="363"/>
      <c r="E14" s="363"/>
      <c r="F14" s="358"/>
      <c r="G14" s="358"/>
      <c r="H14" s="358"/>
      <c r="I14" s="358"/>
      <c r="J14" s="358"/>
      <c r="K14" s="358"/>
      <c r="L14" s="358"/>
      <c r="M14" s="363"/>
      <c r="N14" s="363"/>
      <c r="O14" s="364"/>
      <c r="P14" s="364"/>
      <c r="Q14" s="364"/>
      <c r="R14" s="359"/>
      <c r="S14" s="363"/>
      <c r="T14" s="363"/>
      <c r="U14" s="358"/>
      <c r="V14" s="358"/>
    </row>
    <row r="15" spans="1:22" s="360" customFormat="1" ht="24" customHeight="1">
      <c r="A15" s="361">
        <v>4</v>
      </c>
      <c r="B15" s="361" t="s">
        <v>347</v>
      </c>
      <c r="C15" s="363">
        <v>0</v>
      </c>
      <c r="D15" s="363"/>
      <c r="E15" s="363"/>
      <c r="F15" s="358"/>
      <c r="G15" s="358"/>
      <c r="H15" s="358"/>
      <c r="I15" s="358"/>
      <c r="J15" s="358"/>
      <c r="K15" s="358"/>
      <c r="L15" s="358"/>
      <c r="M15" s="363"/>
      <c r="N15" s="363"/>
      <c r="O15" s="364"/>
      <c r="P15" s="364"/>
      <c r="Q15" s="364"/>
      <c r="R15" s="359"/>
      <c r="S15" s="363"/>
      <c r="T15" s="363"/>
      <c r="U15" s="358"/>
      <c r="V15" s="358"/>
    </row>
    <row r="16" spans="1:22" s="360" customFormat="1" ht="24" customHeight="1">
      <c r="A16" s="361">
        <v>5</v>
      </c>
      <c r="B16" s="361" t="s">
        <v>348</v>
      </c>
      <c r="C16" s="363">
        <v>0</v>
      </c>
      <c r="D16" s="363"/>
      <c r="E16" s="363"/>
      <c r="F16" s="358"/>
      <c r="G16" s="358"/>
      <c r="H16" s="358"/>
      <c r="I16" s="358"/>
      <c r="J16" s="358"/>
      <c r="K16" s="358"/>
      <c r="L16" s="358"/>
      <c r="M16" s="363"/>
      <c r="N16" s="363"/>
      <c r="O16" s="364"/>
      <c r="P16" s="364"/>
      <c r="Q16" s="364"/>
      <c r="R16" s="359"/>
      <c r="S16" s="363"/>
      <c r="T16" s="363"/>
      <c r="U16" s="358"/>
      <c r="V16" s="358"/>
    </row>
    <row r="17" spans="1:22" s="360" customFormat="1" ht="24" customHeight="1">
      <c r="A17" s="361">
        <v>6</v>
      </c>
      <c r="B17" s="361" t="s">
        <v>401</v>
      </c>
      <c r="C17" s="363">
        <v>0</v>
      </c>
      <c r="D17" s="363"/>
      <c r="E17" s="363"/>
      <c r="F17" s="358"/>
      <c r="G17" s="358"/>
      <c r="H17" s="358"/>
      <c r="I17" s="358"/>
      <c r="J17" s="358"/>
      <c r="K17" s="358"/>
      <c r="L17" s="358"/>
      <c r="M17" s="363"/>
      <c r="N17" s="363"/>
      <c r="O17" s="364"/>
      <c r="P17" s="364"/>
      <c r="Q17" s="364"/>
      <c r="R17" s="359"/>
      <c r="S17" s="363"/>
      <c r="T17" s="363"/>
      <c r="U17" s="358"/>
      <c r="V17" s="358"/>
    </row>
    <row r="18" spans="1:22" s="360" customFormat="1" ht="24" customHeight="1">
      <c r="A18" s="361">
        <v>7</v>
      </c>
      <c r="B18" s="361" t="s">
        <v>428</v>
      </c>
      <c r="C18" s="363">
        <v>0</v>
      </c>
      <c r="D18" s="363"/>
      <c r="E18" s="363"/>
      <c r="F18" s="358"/>
      <c r="G18" s="358"/>
      <c r="H18" s="358"/>
      <c r="I18" s="358"/>
      <c r="J18" s="358"/>
      <c r="K18" s="358"/>
      <c r="L18" s="358"/>
      <c r="M18" s="363"/>
      <c r="N18" s="363"/>
      <c r="O18" s="364"/>
      <c r="P18" s="364"/>
      <c r="Q18" s="364"/>
      <c r="R18" s="359"/>
      <c r="S18" s="363"/>
      <c r="T18" s="363"/>
      <c r="U18" s="358"/>
      <c r="V18" s="358"/>
    </row>
    <row r="19" spans="1:22" ht="21" customHeight="1">
      <c r="A19" s="213"/>
      <c r="B19" s="651" t="str">
        <f>TT!C4</f>
        <v>Tuyên Quang, ngày 4 tháng 5 năm 2022</v>
      </c>
      <c r="C19" s="651"/>
      <c r="D19" s="651"/>
      <c r="E19" s="651"/>
      <c r="F19" s="651"/>
      <c r="G19" s="651"/>
      <c r="H19" s="295"/>
      <c r="I19" s="295"/>
      <c r="J19" s="295"/>
      <c r="K19" s="319"/>
      <c r="L19" s="320"/>
      <c r="M19" s="719" t="str">
        <f>TT!C4</f>
        <v>Tuyên Quang, ngày 4 tháng 5 năm 2022</v>
      </c>
      <c r="N19" s="719"/>
      <c r="O19" s="719"/>
      <c r="P19" s="719"/>
      <c r="Q19" s="719"/>
      <c r="R19" s="719"/>
      <c r="S19" s="719"/>
      <c r="T19" s="329"/>
      <c r="U19" s="365"/>
      <c r="V19" s="365"/>
    </row>
    <row r="20" spans="1:25" ht="21" customHeight="1">
      <c r="A20" s="126"/>
      <c r="B20" s="643" t="s">
        <v>290</v>
      </c>
      <c r="C20" s="643"/>
      <c r="D20" s="643"/>
      <c r="E20" s="643"/>
      <c r="F20" s="643"/>
      <c r="G20" s="643"/>
      <c r="H20" s="296"/>
      <c r="I20" s="296"/>
      <c r="J20" s="296"/>
      <c r="K20" s="321"/>
      <c r="L20" s="321"/>
      <c r="M20" s="644" t="str">
        <f>TT!C5</f>
        <v>CỤC TRƯỞNG</v>
      </c>
      <c r="N20" s="644"/>
      <c r="O20" s="644"/>
      <c r="P20" s="644"/>
      <c r="Q20" s="644"/>
      <c r="R20" s="644"/>
      <c r="S20" s="644"/>
      <c r="T20" s="297"/>
      <c r="U20" s="165"/>
      <c r="V20" s="165"/>
      <c r="Y20" s="166"/>
    </row>
    <row r="21" spans="1:22" ht="18" customHeight="1">
      <c r="A21" s="3"/>
      <c r="B21" s="281"/>
      <c r="C21" s="281"/>
      <c r="D21" s="282"/>
      <c r="E21" s="282"/>
      <c r="F21" s="282"/>
      <c r="G21" s="281"/>
      <c r="H21" s="281"/>
      <c r="I21" s="281"/>
      <c r="J21" s="281"/>
      <c r="K21" s="282"/>
      <c r="L21" s="282"/>
      <c r="M21" s="282"/>
      <c r="N21" s="282"/>
      <c r="P21" s="297"/>
      <c r="Q21" s="297"/>
      <c r="R21" s="297"/>
      <c r="S21" s="282"/>
      <c r="T21" s="282"/>
      <c r="U21" s="167"/>
      <c r="V21" s="167"/>
    </row>
    <row r="22" spans="1:22" ht="21" customHeight="1">
      <c r="A22" s="3"/>
      <c r="B22" s="281"/>
      <c r="C22" s="281"/>
      <c r="D22" s="282"/>
      <c r="E22" s="282"/>
      <c r="F22" s="282"/>
      <c r="G22" s="281"/>
      <c r="H22" s="281"/>
      <c r="I22" s="281"/>
      <c r="J22" s="281"/>
      <c r="K22" s="282"/>
      <c r="L22" s="282"/>
      <c r="M22" s="282"/>
      <c r="N22" s="282"/>
      <c r="P22" s="302"/>
      <c r="Q22" s="302"/>
      <c r="R22" s="302"/>
      <c r="S22" s="302"/>
      <c r="T22" s="302"/>
      <c r="U22" s="168"/>
      <c r="V22" s="168"/>
    </row>
    <row r="23" spans="1:22" ht="30.75" customHeight="1">
      <c r="A23" s="3"/>
      <c r="B23" s="281"/>
      <c r="C23" s="281"/>
      <c r="D23" s="282"/>
      <c r="E23" s="282"/>
      <c r="F23" s="282"/>
      <c r="G23" s="281"/>
      <c r="H23" s="281"/>
      <c r="I23" s="281"/>
      <c r="J23" s="281"/>
      <c r="K23" s="282"/>
      <c r="L23" s="282"/>
      <c r="M23" s="282"/>
      <c r="N23" s="282"/>
      <c r="P23" s="302"/>
      <c r="Q23" s="302"/>
      <c r="R23" s="302"/>
      <c r="S23" s="302"/>
      <c r="T23" s="302"/>
      <c r="U23" s="366"/>
      <c r="V23" s="366"/>
    </row>
    <row r="24" spans="1:22" ht="30.75" customHeight="1">
      <c r="A24" s="3"/>
      <c r="B24" s="644" t="str">
        <f>TT!C6</f>
        <v>Hà Thị Mai</v>
      </c>
      <c r="C24" s="644"/>
      <c r="D24" s="644"/>
      <c r="E24" s="644"/>
      <c r="F24" s="644"/>
      <c r="G24" s="644"/>
      <c r="H24" s="297"/>
      <c r="I24" s="297"/>
      <c r="J24" s="297"/>
      <c r="K24" s="282"/>
      <c r="L24" s="282"/>
      <c r="M24" s="644" t="str">
        <f>TT!C3</f>
        <v>Nguyễn Tuyên</v>
      </c>
      <c r="N24" s="644"/>
      <c r="O24" s="644"/>
      <c r="P24" s="644"/>
      <c r="Q24" s="644"/>
      <c r="R24" s="644"/>
      <c r="S24" s="644"/>
      <c r="T24" s="297"/>
      <c r="U24" s="367"/>
      <c r="V24" s="367"/>
    </row>
    <row r="25" spans="1:11" ht="15.75">
      <c r="A25" s="169"/>
      <c r="B25" s="169"/>
      <c r="C25" s="169"/>
      <c r="D25" s="169"/>
      <c r="E25" s="169"/>
      <c r="F25" s="169"/>
      <c r="G25" s="169"/>
      <c r="H25" s="169"/>
      <c r="I25" s="169"/>
      <c r="J25" s="169"/>
      <c r="K25" s="169"/>
    </row>
    <row r="26" spans="1:11" ht="15.75">
      <c r="A26" s="169"/>
      <c r="B26" s="169"/>
      <c r="C26" s="169"/>
      <c r="D26" s="169"/>
      <c r="E26" s="169"/>
      <c r="F26" s="169"/>
      <c r="G26" s="169"/>
      <c r="H26" s="169"/>
      <c r="I26" s="169"/>
      <c r="J26" s="169"/>
      <c r="K26" s="169"/>
    </row>
    <row r="27" spans="1:11" ht="15.75">
      <c r="A27" s="169"/>
      <c r="B27" s="169"/>
      <c r="C27" s="169"/>
      <c r="D27" s="169"/>
      <c r="E27" s="169"/>
      <c r="F27" s="169"/>
      <c r="G27" s="169"/>
      <c r="H27" s="169"/>
      <c r="I27" s="169"/>
      <c r="J27" s="169"/>
      <c r="K27" s="169"/>
    </row>
    <row r="28" spans="1:11" ht="15.75" hidden="1">
      <c r="A28" s="169"/>
      <c r="B28" s="169"/>
      <c r="C28" s="169"/>
      <c r="D28" s="169"/>
      <c r="E28" s="169"/>
      <c r="F28" s="169"/>
      <c r="G28" s="169"/>
      <c r="H28" s="169"/>
      <c r="I28" s="169"/>
      <c r="J28" s="169"/>
      <c r="K28" s="169"/>
    </row>
    <row r="29" spans="1:13" s="172" customFormat="1" ht="15.75" hidden="1">
      <c r="A29" s="170" t="s">
        <v>270</v>
      </c>
      <c r="B29" s="3"/>
      <c r="C29" s="3"/>
      <c r="D29" s="3"/>
      <c r="E29" s="3"/>
      <c r="F29" s="3"/>
      <c r="G29" s="3"/>
      <c r="H29" s="3"/>
      <c r="I29" s="3"/>
      <c r="J29" s="3"/>
      <c r="K29" s="3"/>
      <c r="L29" s="171"/>
      <c r="M29" s="171"/>
    </row>
    <row r="30" spans="1:19" s="172" customFormat="1" ht="15" customHeight="1" hidden="1">
      <c r="A30" s="156"/>
      <c r="B30" s="716" t="s">
        <v>291</v>
      </c>
      <c r="C30" s="716"/>
      <c r="D30" s="716"/>
      <c r="E30" s="716"/>
      <c r="F30" s="716"/>
      <c r="G30" s="716"/>
      <c r="H30" s="716"/>
      <c r="I30" s="716"/>
      <c r="J30" s="716"/>
      <c r="K30" s="716"/>
      <c r="L30" s="156"/>
      <c r="M30" s="156"/>
      <c r="N30" s="158"/>
      <c r="O30" s="158"/>
      <c r="P30" s="158"/>
      <c r="Q30" s="158"/>
      <c r="R30" s="158"/>
      <c r="S30" s="158"/>
    </row>
    <row r="31" spans="2:13" s="172" customFormat="1" ht="15.75" hidden="1">
      <c r="B31" s="155" t="s">
        <v>292</v>
      </c>
      <c r="L31" s="171"/>
      <c r="M31" s="171"/>
    </row>
    <row r="32" ht="15.75" hidden="1">
      <c r="B32" s="149" t="s">
        <v>293</v>
      </c>
    </row>
  </sheetData>
  <sheetProtection formatCells="0" formatColumns="0" formatRows="0" insertRows="0" deleteRows="0"/>
  <mergeCells count="38">
    <mergeCell ref="B30:K30"/>
    <mergeCell ref="A9:B9"/>
    <mergeCell ref="B19:G19"/>
    <mergeCell ref="M19:S19"/>
    <mergeCell ref="B20:G20"/>
    <mergeCell ref="M20:S20"/>
    <mergeCell ref="B24:G24"/>
    <mergeCell ref="M24:S24"/>
    <mergeCell ref="A8:B8"/>
    <mergeCell ref="M3:V3"/>
    <mergeCell ref="D4:D7"/>
    <mergeCell ref="E4:F4"/>
    <mergeCell ref="G4:G7"/>
    <mergeCell ref="I4:I7"/>
    <mergeCell ref="J4:J7"/>
    <mergeCell ref="K4:K7"/>
    <mergeCell ref="L4:L7"/>
    <mergeCell ref="M4:M7"/>
    <mergeCell ref="N4:U4"/>
    <mergeCell ref="V4:V7"/>
    <mergeCell ref="E5:E7"/>
    <mergeCell ref="F5:F7"/>
    <mergeCell ref="N5:N7"/>
    <mergeCell ref="O5:R5"/>
    <mergeCell ref="A1:E1"/>
    <mergeCell ref="F1:Q1"/>
    <mergeCell ref="R1:V1"/>
    <mergeCell ref="R2:V2"/>
    <mergeCell ref="C3:C7"/>
    <mergeCell ref="D3:G3"/>
    <mergeCell ref="H3:H7"/>
    <mergeCell ref="I3:L3"/>
    <mergeCell ref="A3:A7"/>
    <mergeCell ref="B3:B7"/>
    <mergeCell ref="S5:S7"/>
    <mergeCell ref="T5:U6"/>
    <mergeCell ref="O6:P6"/>
    <mergeCell ref="Q6:R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2"/>
  <sheetViews>
    <sheetView view="pageBreakPreview" zoomScaleSheetLayoutView="100" zoomScalePageLayoutView="0" workbookViewId="0" topLeftCell="A13">
      <selection activeCell="Q28" sqref="Q28"/>
    </sheetView>
  </sheetViews>
  <sheetFormatPr defaultColWidth="9.00390625" defaultRowHeight="15.75"/>
  <cols>
    <col min="1" max="1" width="4.25390625" style="185" customWidth="1"/>
    <col min="2" max="2" width="25.50390625" style="185" customWidth="1"/>
    <col min="3" max="3" width="6.625" style="185" customWidth="1"/>
    <col min="4" max="4" width="7.625" style="185" customWidth="1"/>
    <col min="5" max="5" width="8.00390625" style="208" customWidth="1"/>
    <col min="6" max="6" width="6.50390625" style="185" customWidth="1"/>
    <col min="7" max="7" width="5.75390625" style="185" customWidth="1"/>
    <col min="8" max="8" width="5.375" style="185" customWidth="1"/>
    <col min="9" max="9" width="7.75390625" style="185" customWidth="1"/>
    <col min="10" max="10" width="6.75390625" style="185" customWidth="1"/>
    <col min="11" max="11" width="6.625" style="185" customWidth="1"/>
    <col min="12" max="12" width="7.125" style="185" customWidth="1"/>
    <col min="13" max="13" width="6.375" style="185" customWidth="1"/>
    <col min="14" max="14" width="6.75390625" style="209" customWidth="1"/>
    <col min="15" max="15" width="6.125" style="209" customWidth="1"/>
    <col min="16" max="16" width="5.625" style="209" customWidth="1"/>
    <col min="17" max="17" width="7.00390625" style="210" customWidth="1"/>
    <col min="18" max="18" width="7.00390625" style="209" customWidth="1"/>
    <col min="19" max="19" width="5.75390625" style="209" customWidth="1"/>
    <col min="20" max="20" width="7.125" style="209" customWidth="1"/>
    <col min="21" max="21" width="7.875" style="209" customWidth="1"/>
    <col min="22" max="16384" width="9.00390625" style="185" customWidth="1"/>
  </cols>
  <sheetData>
    <row r="1" spans="1:21" ht="65.25" customHeight="1">
      <c r="A1" s="488" t="s">
        <v>325</v>
      </c>
      <c r="B1" s="488"/>
      <c r="C1" s="488"/>
      <c r="D1" s="488"/>
      <c r="E1" s="487" t="s">
        <v>434</v>
      </c>
      <c r="F1" s="487"/>
      <c r="G1" s="487"/>
      <c r="H1" s="487"/>
      <c r="I1" s="487"/>
      <c r="J1" s="487"/>
      <c r="K1" s="487"/>
      <c r="L1" s="487"/>
      <c r="M1" s="487"/>
      <c r="N1" s="487"/>
      <c r="O1" s="487"/>
      <c r="P1" s="490" t="str">
        <f>TT!C2</f>
        <v>Đơn vị  báo cáo: 
Cục Thi hành án dân sự tỉnh Tuyên Quang
Đơn vị nhận báo cáo: Tổng cục Thi hành án dân sự</v>
      </c>
      <c r="Q1" s="490"/>
      <c r="R1" s="490"/>
      <c r="S1" s="490"/>
      <c r="T1" s="490"/>
      <c r="U1" s="490"/>
    </row>
    <row r="2" spans="1:21" ht="17.25" customHeight="1">
      <c r="A2" s="186"/>
      <c r="B2" s="187"/>
      <c r="C2" s="187"/>
      <c r="D2" s="187"/>
      <c r="E2" s="188"/>
      <c r="F2" s="189"/>
      <c r="G2" s="189"/>
      <c r="H2" s="189"/>
      <c r="I2" s="190"/>
      <c r="J2" s="191"/>
      <c r="K2" s="192"/>
      <c r="L2" s="192"/>
      <c r="M2" s="192"/>
      <c r="N2" s="193"/>
      <c r="O2" s="193"/>
      <c r="P2" s="491" t="s">
        <v>164</v>
      </c>
      <c r="Q2" s="491"/>
      <c r="R2" s="491"/>
      <c r="S2" s="491"/>
      <c r="T2" s="491"/>
      <c r="U2" s="491"/>
    </row>
    <row r="3" spans="1:21" s="194" customFormat="1" ht="15.75" customHeight="1">
      <c r="A3" s="479" t="s">
        <v>136</v>
      </c>
      <c r="B3" s="479" t="s">
        <v>157</v>
      </c>
      <c r="C3" s="479" t="s">
        <v>163</v>
      </c>
      <c r="D3" s="463" t="s">
        <v>134</v>
      </c>
      <c r="E3" s="468" t="s">
        <v>4</v>
      </c>
      <c r="F3" s="468"/>
      <c r="G3" s="468" t="s">
        <v>36</v>
      </c>
      <c r="H3" s="469" t="s">
        <v>162</v>
      </c>
      <c r="I3" s="468" t="s">
        <v>37</v>
      </c>
      <c r="J3" s="485" t="s">
        <v>4</v>
      </c>
      <c r="K3" s="486"/>
      <c r="L3" s="486"/>
      <c r="M3" s="486"/>
      <c r="N3" s="486"/>
      <c r="O3" s="486"/>
      <c r="P3" s="486"/>
      <c r="Q3" s="486"/>
      <c r="R3" s="486"/>
      <c r="S3" s="489"/>
      <c r="T3" s="465" t="s">
        <v>103</v>
      </c>
      <c r="U3" s="463" t="s">
        <v>160</v>
      </c>
    </row>
    <row r="4" spans="1:21" s="195" customFormat="1" ht="15.75" customHeight="1">
      <c r="A4" s="480"/>
      <c r="B4" s="480"/>
      <c r="C4" s="480"/>
      <c r="D4" s="464"/>
      <c r="E4" s="468" t="s">
        <v>137</v>
      </c>
      <c r="F4" s="468" t="s">
        <v>62</v>
      </c>
      <c r="G4" s="468"/>
      <c r="H4" s="469"/>
      <c r="I4" s="468"/>
      <c r="J4" s="468" t="s">
        <v>61</v>
      </c>
      <c r="K4" s="468" t="s">
        <v>4</v>
      </c>
      <c r="L4" s="468"/>
      <c r="M4" s="468"/>
      <c r="N4" s="468"/>
      <c r="O4" s="468"/>
      <c r="P4" s="468"/>
      <c r="Q4" s="469" t="s">
        <v>139</v>
      </c>
      <c r="R4" s="468" t="s">
        <v>148</v>
      </c>
      <c r="S4" s="469" t="s">
        <v>81</v>
      </c>
      <c r="T4" s="466"/>
      <c r="U4" s="464"/>
    </row>
    <row r="5" spans="1:21" s="194" customFormat="1" ht="15.75" customHeight="1">
      <c r="A5" s="480"/>
      <c r="B5" s="480"/>
      <c r="C5" s="480"/>
      <c r="D5" s="464"/>
      <c r="E5" s="468"/>
      <c r="F5" s="468"/>
      <c r="G5" s="468"/>
      <c r="H5" s="469"/>
      <c r="I5" s="468"/>
      <c r="J5" s="468"/>
      <c r="K5" s="468" t="s">
        <v>96</v>
      </c>
      <c r="L5" s="468" t="s">
        <v>4</v>
      </c>
      <c r="M5" s="468"/>
      <c r="N5" s="468" t="s">
        <v>42</v>
      </c>
      <c r="O5" s="468" t="s">
        <v>147</v>
      </c>
      <c r="P5" s="468" t="s">
        <v>46</v>
      </c>
      <c r="Q5" s="469"/>
      <c r="R5" s="468"/>
      <c r="S5" s="469"/>
      <c r="T5" s="466"/>
      <c r="U5" s="464"/>
    </row>
    <row r="6" spans="1:21" s="194" customFormat="1" ht="15.75" customHeight="1">
      <c r="A6" s="480"/>
      <c r="B6" s="480"/>
      <c r="C6" s="480"/>
      <c r="D6" s="464"/>
      <c r="E6" s="468"/>
      <c r="F6" s="468"/>
      <c r="G6" s="468"/>
      <c r="H6" s="469"/>
      <c r="I6" s="468"/>
      <c r="J6" s="468"/>
      <c r="K6" s="468"/>
      <c r="L6" s="468"/>
      <c r="M6" s="468"/>
      <c r="N6" s="468"/>
      <c r="O6" s="468"/>
      <c r="P6" s="468"/>
      <c r="Q6" s="469"/>
      <c r="R6" s="468"/>
      <c r="S6" s="469"/>
      <c r="T6" s="466"/>
      <c r="U6" s="464"/>
    </row>
    <row r="7" spans="1:21" s="194" customFormat="1" ht="44.25" customHeight="1">
      <c r="A7" s="481"/>
      <c r="B7" s="481"/>
      <c r="C7" s="481"/>
      <c r="D7" s="484"/>
      <c r="E7" s="468"/>
      <c r="F7" s="468"/>
      <c r="G7" s="468"/>
      <c r="H7" s="469"/>
      <c r="I7" s="468"/>
      <c r="J7" s="468"/>
      <c r="K7" s="468"/>
      <c r="L7" s="196" t="s">
        <v>39</v>
      </c>
      <c r="M7" s="196" t="s">
        <v>138</v>
      </c>
      <c r="N7" s="468"/>
      <c r="O7" s="468"/>
      <c r="P7" s="468"/>
      <c r="Q7" s="469"/>
      <c r="R7" s="468"/>
      <c r="S7" s="469"/>
      <c r="T7" s="467"/>
      <c r="U7" s="464"/>
    </row>
    <row r="8" spans="1:21" ht="14.25" customHeight="1">
      <c r="A8" s="477" t="s">
        <v>3</v>
      </c>
      <c r="B8" s="478"/>
      <c r="C8" s="229" t="s">
        <v>13</v>
      </c>
      <c r="D8" s="229" t="s">
        <v>14</v>
      </c>
      <c r="E8" s="229" t="s">
        <v>19</v>
      </c>
      <c r="F8" s="229" t="s">
        <v>22</v>
      </c>
      <c r="G8" s="229" t="s">
        <v>23</v>
      </c>
      <c r="H8" s="229" t="s">
        <v>24</v>
      </c>
      <c r="I8" s="229" t="s">
        <v>25</v>
      </c>
      <c r="J8" s="229" t="s">
        <v>26</v>
      </c>
      <c r="K8" s="229" t="s">
        <v>27</v>
      </c>
      <c r="L8" s="229" t="s">
        <v>29</v>
      </c>
      <c r="M8" s="229" t="s">
        <v>30</v>
      </c>
      <c r="N8" s="229" t="s">
        <v>104</v>
      </c>
      <c r="O8" s="229" t="s">
        <v>101</v>
      </c>
      <c r="P8" s="229" t="s">
        <v>105</v>
      </c>
      <c r="Q8" s="229" t="s">
        <v>106</v>
      </c>
      <c r="R8" s="229" t="s">
        <v>107</v>
      </c>
      <c r="S8" s="229" t="s">
        <v>118</v>
      </c>
      <c r="T8" s="229" t="s">
        <v>131</v>
      </c>
      <c r="U8" s="229" t="s">
        <v>133</v>
      </c>
    </row>
    <row r="9" spans="1:21" ht="13.5" customHeight="1">
      <c r="A9" s="485" t="s">
        <v>10</v>
      </c>
      <c r="B9" s="486"/>
      <c r="C9" s="370">
        <f aca="true" t="shared" si="0" ref="C9:T9">C10+C24</f>
        <v>3680</v>
      </c>
      <c r="D9" s="370">
        <f t="shared" si="0"/>
        <v>5446</v>
      </c>
      <c r="E9" s="370">
        <f t="shared" si="0"/>
        <v>1005</v>
      </c>
      <c r="F9" s="370">
        <f t="shared" si="0"/>
        <v>4441</v>
      </c>
      <c r="G9" s="370">
        <f t="shared" si="0"/>
        <v>35</v>
      </c>
      <c r="H9" s="370">
        <f t="shared" si="0"/>
        <v>1</v>
      </c>
      <c r="I9" s="370">
        <f t="shared" si="0"/>
        <v>5410</v>
      </c>
      <c r="J9" s="370">
        <f t="shared" si="0"/>
        <v>4771</v>
      </c>
      <c r="K9" s="370">
        <f t="shared" si="0"/>
        <v>4188</v>
      </c>
      <c r="L9" s="370">
        <f t="shared" si="0"/>
        <v>4102</v>
      </c>
      <c r="M9" s="370">
        <f t="shared" si="0"/>
        <v>86</v>
      </c>
      <c r="N9" s="370">
        <f t="shared" si="0"/>
        <v>579</v>
      </c>
      <c r="O9" s="370">
        <f t="shared" si="0"/>
        <v>4</v>
      </c>
      <c r="P9" s="370">
        <f t="shared" si="0"/>
        <v>0</v>
      </c>
      <c r="Q9" s="370">
        <f t="shared" si="0"/>
        <v>570</v>
      </c>
      <c r="R9" s="370">
        <f t="shared" si="0"/>
        <v>68</v>
      </c>
      <c r="S9" s="370">
        <f t="shared" si="0"/>
        <v>1</v>
      </c>
      <c r="T9" s="370">
        <f t="shared" si="0"/>
        <v>1222</v>
      </c>
      <c r="U9" s="238">
        <f>IF(J9&lt;&gt;0,K9/J9,"")</f>
        <v>0.8778033955145672</v>
      </c>
    </row>
    <row r="10" spans="1:21" ht="13.5" customHeight="1">
      <c r="A10" s="197" t="s">
        <v>0</v>
      </c>
      <c r="B10" s="198" t="s">
        <v>89</v>
      </c>
      <c r="C10" s="370">
        <f>SUM(C11:C23)</f>
        <v>3407</v>
      </c>
      <c r="D10" s="370">
        <f aca="true" t="shared" si="1" ref="D10:S10">SUM(D11:D23)</f>
        <v>4402</v>
      </c>
      <c r="E10" s="370">
        <f t="shared" si="1"/>
        <v>491</v>
      </c>
      <c r="F10" s="370">
        <f t="shared" si="1"/>
        <v>3911</v>
      </c>
      <c r="G10" s="370">
        <f t="shared" si="1"/>
        <v>12</v>
      </c>
      <c r="H10" s="370">
        <f t="shared" si="1"/>
        <v>1</v>
      </c>
      <c r="I10" s="370">
        <f t="shared" si="1"/>
        <v>4389</v>
      </c>
      <c r="J10" s="370">
        <f t="shared" si="1"/>
        <v>4075</v>
      </c>
      <c r="K10" s="370">
        <f t="shared" si="1"/>
        <v>3819</v>
      </c>
      <c r="L10" s="370">
        <f t="shared" si="1"/>
        <v>3766</v>
      </c>
      <c r="M10" s="370">
        <f t="shared" si="1"/>
        <v>53</v>
      </c>
      <c r="N10" s="370">
        <f t="shared" si="1"/>
        <v>256</v>
      </c>
      <c r="O10" s="370">
        <f t="shared" si="1"/>
        <v>0</v>
      </c>
      <c r="P10" s="370">
        <f t="shared" si="1"/>
        <v>0</v>
      </c>
      <c r="Q10" s="370">
        <f t="shared" si="1"/>
        <v>302</v>
      </c>
      <c r="R10" s="370">
        <f t="shared" si="1"/>
        <v>12</v>
      </c>
      <c r="S10" s="370">
        <f t="shared" si="1"/>
        <v>0</v>
      </c>
      <c r="T10" s="370">
        <f>SUM(N10:S10)</f>
        <v>570</v>
      </c>
      <c r="U10" s="238">
        <f>IF(J10&lt;&gt;0,K10/J10,"")</f>
        <v>0.9371779141104295</v>
      </c>
    </row>
    <row r="11" spans="1:21" ht="13.5" customHeight="1">
      <c r="A11" s="230" t="s">
        <v>13</v>
      </c>
      <c r="B11" s="231" t="s">
        <v>31</v>
      </c>
      <c r="C11" s="232">
        <f>224+76+150+51+8+95+22+12</f>
        <v>638</v>
      </c>
      <c r="D11" s="370">
        <f>E11+F11</f>
        <v>839</v>
      </c>
      <c r="E11" s="233">
        <f>41+34+17+12+38+2+3</f>
        <v>147</v>
      </c>
      <c r="F11" s="232">
        <f>220+76+169+63+10+105+34+15</f>
        <v>692</v>
      </c>
      <c r="G11" s="232">
        <f>2+3</f>
        <v>5</v>
      </c>
      <c r="H11" s="232"/>
      <c r="I11" s="370">
        <f>J11+Q11+R11+S11</f>
        <v>834</v>
      </c>
      <c r="J11" s="370">
        <f>K11+N11+O11+P11</f>
        <v>750</v>
      </c>
      <c r="K11" s="370">
        <f>L11+M11</f>
        <v>649</v>
      </c>
      <c r="L11" s="232">
        <f>207+69+157+50+10+104+30+12</f>
        <v>639</v>
      </c>
      <c r="M11" s="232">
        <f>5+2+1+1+1</f>
        <v>10</v>
      </c>
      <c r="N11" s="232">
        <f>27+20+18+11+23+2</f>
        <v>101</v>
      </c>
      <c r="O11" s="232"/>
      <c r="P11" s="232"/>
      <c r="Q11" s="232">
        <f>17+20+9+11+12+3+3</f>
        <v>75</v>
      </c>
      <c r="R11" s="232">
        <f>3+1+2+3</f>
        <v>9</v>
      </c>
      <c r="S11" s="232"/>
      <c r="T11" s="370">
        <f>SUM(N11:S11)</f>
        <v>185</v>
      </c>
      <c r="U11" s="238">
        <f aca="true" t="shared" si="2" ref="U11:U36">IF(J11&lt;&gt;0,K11/J11,"")</f>
        <v>0.8653333333333333</v>
      </c>
    </row>
    <row r="12" spans="1:21" ht="13.5" customHeight="1">
      <c r="A12" s="230" t="s">
        <v>14</v>
      </c>
      <c r="B12" s="234" t="s">
        <v>33</v>
      </c>
      <c r="C12" s="232">
        <f>16+2+2+8+2+1</f>
        <v>31</v>
      </c>
      <c r="D12" s="370">
        <f aca="true" t="shared" si="3" ref="D12:D23">E12+F12</f>
        <v>53</v>
      </c>
      <c r="E12" s="233">
        <f>8+1+1</f>
        <v>10</v>
      </c>
      <c r="F12" s="232">
        <f>22+2+3+11+4+1</f>
        <v>43</v>
      </c>
      <c r="G12" s="232"/>
      <c r="H12" s="232"/>
      <c r="I12" s="370">
        <f aca="true" t="shared" si="4" ref="I12:I23">J12+Q12+R12+S12</f>
        <v>53</v>
      </c>
      <c r="J12" s="370">
        <f aca="true" t="shared" si="5" ref="J12:J37">K12+N12+O12+P12</f>
        <v>47</v>
      </c>
      <c r="K12" s="370">
        <f aca="true" t="shared" si="6" ref="K12:K22">L12+M12</f>
        <v>39</v>
      </c>
      <c r="L12" s="232">
        <f>23+2+1+10+2+1</f>
        <v>39</v>
      </c>
      <c r="M12" s="232"/>
      <c r="N12" s="232">
        <f>4+1+2+1</f>
        <v>8</v>
      </c>
      <c r="O12" s="232"/>
      <c r="P12" s="232"/>
      <c r="Q12" s="232">
        <f>3+1+1+1</f>
        <v>6</v>
      </c>
      <c r="R12" s="232"/>
      <c r="S12" s="232"/>
      <c r="T12" s="370">
        <f aca="true" t="shared" si="7" ref="T12:T36">SUM(N12:S12)</f>
        <v>14</v>
      </c>
      <c r="U12" s="238">
        <f t="shared" si="2"/>
        <v>0.8297872340425532</v>
      </c>
    </row>
    <row r="13" spans="1:21" ht="13.5" customHeight="1">
      <c r="A13" s="230" t="s">
        <v>19</v>
      </c>
      <c r="B13" s="235" t="s">
        <v>141</v>
      </c>
      <c r="C13" s="232">
        <f>1</f>
        <v>1</v>
      </c>
      <c r="D13" s="370">
        <f t="shared" si="3"/>
        <v>3</v>
      </c>
      <c r="E13" s="233"/>
      <c r="F13" s="232">
        <f>1+2</f>
        <v>3</v>
      </c>
      <c r="G13" s="232">
        <f>2</f>
        <v>2</v>
      </c>
      <c r="H13" s="232"/>
      <c r="I13" s="370">
        <f t="shared" si="4"/>
        <v>1</v>
      </c>
      <c r="J13" s="370">
        <f t="shared" si="5"/>
        <v>0</v>
      </c>
      <c r="K13" s="370">
        <f t="shared" si="6"/>
        <v>0</v>
      </c>
      <c r="L13" s="232"/>
      <c r="M13" s="232"/>
      <c r="N13" s="232"/>
      <c r="O13" s="232"/>
      <c r="P13" s="232"/>
      <c r="Q13" s="232">
        <f>1</f>
        <v>1</v>
      </c>
      <c r="R13" s="232"/>
      <c r="S13" s="232"/>
      <c r="T13" s="370">
        <f t="shared" si="7"/>
        <v>1</v>
      </c>
      <c r="U13" s="238">
        <f t="shared" si="2"/>
      </c>
    </row>
    <row r="14" spans="1:21" ht="15.75">
      <c r="A14" s="230" t="s">
        <v>22</v>
      </c>
      <c r="B14" s="231" t="s">
        <v>145</v>
      </c>
      <c r="C14" s="232">
        <f>1+2+1</f>
        <v>4</v>
      </c>
      <c r="D14" s="370">
        <f t="shared" si="3"/>
        <v>11</v>
      </c>
      <c r="E14" s="233"/>
      <c r="F14" s="232">
        <f>1+2+8</f>
        <v>11</v>
      </c>
      <c r="G14" s="232"/>
      <c r="H14" s="232"/>
      <c r="I14" s="370">
        <f t="shared" si="4"/>
        <v>11</v>
      </c>
      <c r="J14" s="370">
        <f t="shared" si="5"/>
        <v>11</v>
      </c>
      <c r="K14" s="370">
        <f t="shared" si="6"/>
        <v>10</v>
      </c>
      <c r="L14" s="232">
        <f>1+2+7</f>
        <v>10</v>
      </c>
      <c r="M14" s="232"/>
      <c r="N14" s="232">
        <f>1</f>
        <v>1</v>
      </c>
      <c r="O14" s="232"/>
      <c r="P14" s="232"/>
      <c r="Q14" s="232"/>
      <c r="R14" s="232"/>
      <c r="S14" s="232"/>
      <c r="T14" s="370">
        <f t="shared" si="7"/>
        <v>1</v>
      </c>
      <c r="U14" s="431">
        <f t="shared" si="2"/>
        <v>0.9090909090909091</v>
      </c>
    </row>
    <row r="15" spans="1:21" ht="17.25" customHeight="1">
      <c r="A15" s="230" t="s">
        <v>23</v>
      </c>
      <c r="B15" s="236" t="s">
        <v>144</v>
      </c>
      <c r="C15" s="232">
        <f>3+1+6</f>
        <v>10</v>
      </c>
      <c r="D15" s="370">
        <f t="shared" si="3"/>
        <v>20</v>
      </c>
      <c r="E15" s="233">
        <f>2+1+1</f>
        <v>4</v>
      </c>
      <c r="F15" s="232">
        <f>3+1+12</f>
        <v>16</v>
      </c>
      <c r="G15" s="232"/>
      <c r="H15" s="232"/>
      <c r="I15" s="370">
        <f t="shared" si="4"/>
        <v>20</v>
      </c>
      <c r="J15" s="370">
        <f t="shared" si="5"/>
        <v>19</v>
      </c>
      <c r="K15" s="370">
        <f t="shared" si="6"/>
        <v>16</v>
      </c>
      <c r="L15" s="232">
        <f>1+3+12</f>
        <v>16</v>
      </c>
      <c r="M15" s="232"/>
      <c r="N15" s="232">
        <f>1+1+1</f>
        <v>3</v>
      </c>
      <c r="O15" s="232"/>
      <c r="P15" s="232"/>
      <c r="Q15" s="232">
        <f>1</f>
        <v>1</v>
      </c>
      <c r="R15" s="232"/>
      <c r="S15" s="232"/>
      <c r="T15" s="370">
        <f t="shared" si="7"/>
        <v>4</v>
      </c>
      <c r="U15" s="238">
        <f t="shared" si="2"/>
        <v>0.8421052631578947</v>
      </c>
    </row>
    <row r="16" spans="1:21" ht="13.5" customHeight="1">
      <c r="A16" s="230" t="s">
        <v>24</v>
      </c>
      <c r="B16" s="231" t="s">
        <v>128</v>
      </c>
      <c r="C16" s="232">
        <f>125+182+110+117+102+203+14+43</f>
        <v>896</v>
      </c>
      <c r="D16" s="370">
        <f t="shared" si="3"/>
        <v>1438</v>
      </c>
      <c r="E16" s="233">
        <f>51+103+22+23+26+60+2+20</f>
        <v>307</v>
      </c>
      <c r="F16" s="232">
        <f>210+182+155+152+110+227+30+65</f>
        <v>1131</v>
      </c>
      <c r="G16" s="232">
        <f>2+1+1</f>
        <v>4</v>
      </c>
      <c r="H16" s="232">
        <f>1</f>
        <v>1</v>
      </c>
      <c r="I16" s="370">
        <f t="shared" si="4"/>
        <v>1433</v>
      </c>
      <c r="J16" s="370">
        <f t="shared" si="5"/>
        <v>1218</v>
      </c>
      <c r="K16" s="370">
        <f t="shared" si="6"/>
        <v>1092</v>
      </c>
      <c r="L16" s="232">
        <f>190+178+138+146+100+209+29+59</f>
        <v>1049</v>
      </c>
      <c r="M16" s="232">
        <f>5+10+6+8+2+11+1</f>
        <v>43</v>
      </c>
      <c r="N16" s="232">
        <f>18+20+9+10+7+43+1+18</f>
        <v>126</v>
      </c>
      <c r="O16" s="232"/>
      <c r="P16" s="232"/>
      <c r="Q16" s="232">
        <f>44+76+24+10+27+23+2+7</f>
        <v>213</v>
      </c>
      <c r="R16" s="232">
        <f>2</f>
        <v>2</v>
      </c>
      <c r="S16" s="232"/>
      <c r="T16" s="370">
        <f t="shared" si="7"/>
        <v>341</v>
      </c>
      <c r="U16" s="238">
        <f t="shared" si="2"/>
        <v>0.896551724137931</v>
      </c>
    </row>
    <row r="17" spans="1:21" ht="13.5" customHeight="1">
      <c r="A17" s="230" t="s">
        <v>25</v>
      </c>
      <c r="B17" s="231" t="s">
        <v>129</v>
      </c>
      <c r="C17" s="232">
        <f>2+2+44</f>
        <v>48</v>
      </c>
      <c r="D17" s="370">
        <f t="shared" si="3"/>
        <v>39</v>
      </c>
      <c r="E17" s="233">
        <f>1</f>
        <v>1</v>
      </c>
      <c r="F17" s="232">
        <f>2+2+34</f>
        <v>38</v>
      </c>
      <c r="G17" s="232"/>
      <c r="H17" s="232"/>
      <c r="I17" s="370">
        <f t="shared" si="4"/>
        <v>39</v>
      </c>
      <c r="J17" s="370">
        <f t="shared" si="5"/>
        <v>39</v>
      </c>
      <c r="K17" s="370">
        <f t="shared" si="6"/>
        <v>37</v>
      </c>
      <c r="L17" s="232">
        <f>2+2+33</f>
        <v>37</v>
      </c>
      <c r="M17" s="232"/>
      <c r="N17" s="232">
        <f>1+1</f>
        <v>2</v>
      </c>
      <c r="O17" s="232"/>
      <c r="P17" s="232"/>
      <c r="Q17" s="232"/>
      <c r="R17" s="232"/>
      <c r="S17" s="232"/>
      <c r="T17" s="370">
        <f t="shared" si="7"/>
        <v>2</v>
      </c>
      <c r="U17" s="238">
        <f t="shared" si="2"/>
        <v>0.9487179487179487</v>
      </c>
    </row>
    <row r="18" spans="1:21" ht="13.5" customHeight="1">
      <c r="A18" s="230" t="s">
        <v>26</v>
      </c>
      <c r="B18" s="231" t="s">
        <v>32</v>
      </c>
      <c r="C18" s="232">
        <f>380+370+236+316+3+369+36+66</f>
        <v>1776</v>
      </c>
      <c r="D18" s="370">
        <f t="shared" si="3"/>
        <v>1997</v>
      </c>
      <c r="E18" s="233">
        <f>5+4+7+3+2</f>
        <v>21</v>
      </c>
      <c r="F18" s="232">
        <f>449+370+290+334+3+422+35+73</f>
        <v>1976</v>
      </c>
      <c r="G18" s="232">
        <f>1</f>
        <v>1</v>
      </c>
      <c r="H18" s="232"/>
      <c r="I18" s="370">
        <f t="shared" si="4"/>
        <v>1996</v>
      </c>
      <c r="J18" s="370">
        <f t="shared" si="5"/>
        <v>1989</v>
      </c>
      <c r="K18" s="370">
        <f t="shared" si="6"/>
        <v>1974</v>
      </c>
      <c r="L18" s="232">
        <f>448+372+288+334+3+421+35+73</f>
        <v>1974</v>
      </c>
      <c r="M18" s="232"/>
      <c r="N18" s="232">
        <f>6+1+5+3</f>
        <v>15</v>
      </c>
      <c r="O18" s="232"/>
      <c r="P18" s="232"/>
      <c r="Q18" s="232">
        <f>2+1+1+1+1</f>
        <v>6</v>
      </c>
      <c r="R18" s="232">
        <f>1</f>
        <v>1</v>
      </c>
      <c r="S18" s="232"/>
      <c r="T18" s="370">
        <f t="shared" si="7"/>
        <v>22</v>
      </c>
      <c r="U18" s="238">
        <f t="shared" si="2"/>
        <v>0.9924585218702866</v>
      </c>
    </row>
    <row r="19" spans="1:21" ht="13.5" customHeight="1">
      <c r="A19" s="230" t="s">
        <v>27</v>
      </c>
      <c r="B19" s="231" t="s">
        <v>34</v>
      </c>
      <c r="C19" s="232">
        <f>3</f>
        <v>3</v>
      </c>
      <c r="D19" s="370">
        <f t="shared" si="3"/>
        <v>1</v>
      </c>
      <c r="E19" s="233"/>
      <c r="F19" s="232">
        <f>1</f>
        <v>1</v>
      </c>
      <c r="G19" s="232"/>
      <c r="H19" s="232"/>
      <c r="I19" s="370">
        <f t="shared" si="4"/>
        <v>1</v>
      </c>
      <c r="J19" s="370">
        <f t="shared" si="5"/>
        <v>1</v>
      </c>
      <c r="K19" s="370">
        <f t="shared" si="6"/>
        <v>1</v>
      </c>
      <c r="L19" s="232">
        <f>1</f>
        <v>1</v>
      </c>
      <c r="M19" s="232"/>
      <c r="N19" s="232"/>
      <c r="O19" s="232"/>
      <c r="P19" s="232"/>
      <c r="Q19" s="232"/>
      <c r="R19" s="232"/>
      <c r="S19" s="232"/>
      <c r="T19" s="370">
        <f t="shared" si="7"/>
        <v>0</v>
      </c>
      <c r="U19" s="238">
        <f t="shared" si="2"/>
        <v>1</v>
      </c>
    </row>
    <row r="20" spans="1:21" ht="13.5" customHeight="1">
      <c r="A20" s="230" t="s">
        <v>29</v>
      </c>
      <c r="B20" s="231" t="s">
        <v>35</v>
      </c>
      <c r="C20" s="232"/>
      <c r="D20" s="370">
        <f t="shared" si="3"/>
        <v>0</v>
      </c>
      <c r="E20" s="233"/>
      <c r="F20" s="232"/>
      <c r="G20" s="232"/>
      <c r="H20" s="232"/>
      <c r="I20" s="370">
        <f t="shared" si="4"/>
        <v>0</v>
      </c>
      <c r="J20" s="370">
        <f t="shared" si="5"/>
        <v>0</v>
      </c>
      <c r="K20" s="370">
        <f t="shared" si="6"/>
        <v>0</v>
      </c>
      <c r="L20" s="232"/>
      <c r="M20" s="232"/>
      <c r="N20" s="232"/>
      <c r="O20" s="232"/>
      <c r="P20" s="232"/>
      <c r="Q20" s="232"/>
      <c r="R20" s="232"/>
      <c r="S20" s="232"/>
      <c r="T20" s="370">
        <f t="shared" si="7"/>
        <v>0</v>
      </c>
      <c r="U20" s="238">
        <f t="shared" si="2"/>
      </c>
    </row>
    <row r="21" spans="1:21" ht="13.5" customHeight="1">
      <c r="A21" s="230" t="s">
        <v>30</v>
      </c>
      <c r="B21" s="231" t="s">
        <v>143</v>
      </c>
      <c r="C21" s="232"/>
      <c r="D21" s="370">
        <f t="shared" si="3"/>
        <v>0</v>
      </c>
      <c r="E21" s="233"/>
      <c r="F21" s="232"/>
      <c r="G21" s="232"/>
      <c r="H21" s="232"/>
      <c r="I21" s="370">
        <f t="shared" si="4"/>
        <v>0</v>
      </c>
      <c r="J21" s="370">
        <f t="shared" si="5"/>
        <v>0</v>
      </c>
      <c r="K21" s="370">
        <f t="shared" si="6"/>
        <v>0</v>
      </c>
      <c r="L21" s="232"/>
      <c r="M21" s="232"/>
      <c r="N21" s="232"/>
      <c r="O21" s="232"/>
      <c r="P21" s="232"/>
      <c r="Q21" s="232"/>
      <c r="R21" s="232"/>
      <c r="S21" s="232"/>
      <c r="T21" s="370">
        <f t="shared" si="7"/>
        <v>0</v>
      </c>
      <c r="U21" s="238">
        <f t="shared" si="2"/>
      </c>
    </row>
    <row r="22" spans="1:21" ht="13.5" customHeight="1">
      <c r="A22" s="230" t="s">
        <v>104</v>
      </c>
      <c r="B22" s="231" t="s">
        <v>142</v>
      </c>
      <c r="C22" s="232"/>
      <c r="D22" s="370">
        <f t="shared" si="3"/>
        <v>0</v>
      </c>
      <c r="E22" s="233"/>
      <c r="F22" s="232"/>
      <c r="G22" s="232"/>
      <c r="H22" s="232"/>
      <c r="I22" s="370">
        <f t="shared" si="4"/>
        <v>0</v>
      </c>
      <c r="J22" s="370">
        <f t="shared" si="5"/>
        <v>0</v>
      </c>
      <c r="K22" s="370">
        <f t="shared" si="6"/>
        <v>0</v>
      </c>
      <c r="L22" s="232"/>
      <c r="M22" s="232"/>
      <c r="N22" s="232"/>
      <c r="O22" s="232"/>
      <c r="P22" s="232"/>
      <c r="Q22" s="232"/>
      <c r="R22" s="232"/>
      <c r="S22" s="232"/>
      <c r="T22" s="370">
        <f t="shared" si="7"/>
        <v>0</v>
      </c>
      <c r="U22" s="238">
        <f t="shared" si="2"/>
      </c>
    </row>
    <row r="23" spans="1:21" ht="13.5" customHeight="1">
      <c r="A23" s="230" t="s">
        <v>101</v>
      </c>
      <c r="B23" s="231" t="s">
        <v>102</v>
      </c>
      <c r="C23" s="232"/>
      <c r="D23" s="370">
        <f t="shared" si="3"/>
        <v>1</v>
      </c>
      <c r="E23" s="233">
        <f>1</f>
        <v>1</v>
      </c>
      <c r="F23" s="232"/>
      <c r="G23" s="232"/>
      <c r="H23" s="232"/>
      <c r="I23" s="370">
        <f t="shared" si="4"/>
        <v>1</v>
      </c>
      <c r="J23" s="370">
        <f t="shared" si="5"/>
        <v>1</v>
      </c>
      <c r="K23" s="370">
        <f>L23+M23</f>
        <v>1</v>
      </c>
      <c r="L23" s="232">
        <f>1</f>
        <v>1</v>
      </c>
      <c r="M23" s="232"/>
      <c r="N23" s="232"/>
      <c r="O23" s="232"/>
      <c r="P23" s="232"/>
      <c r="Q23" s="232"/>
      <c r="R23" s="232"/>
      <c r="S23" s="232"/>
      <c r="T23" s="370">
        <f t="shared" si="7"/>
        <v>0</v>
      </c>
      <c r="U23" s="238">
        <f t="shared" si="2"/>
        <v>1</v>
      </c>
    </row>
    <row r="24" spans="1:21" ht="14.25" customHeight="1">
      <c r="A24" s="197" t="s">
        <v>1</v>
      </c>
      <c r="B24" s="198" t="s">
        <v>90</v>
      </c>
      <c r="C24" s="370">
        <f>SUM(C25:C37)</f>
        <v>273</v>
      </c>
      <c r="D24" s="370">
        <f aca="true" t="shared" si="8" ref="D24:T24">SUM(D25:D37)</f>
        <v>1044</v>
      </c>
      <c r="E24" s="370">
        <f t="shared" si="8"/>
        <v>514</v>
      </c>
      <c r="F24" s="370">
        <f t="shared" si="8"/>
        <v>530</v>
      </c>
      <c r="G24" s="370">
        <f t="shared" si="8"/>
        <v>23</v>
      </c>
      <c r="H24" s="370">
        <f t="shared" si="8"/>
        <v>0</v>
      </c>
      <c r="I24" s="370">
        <f t="shared" si="8"/>
        <v>1021</v>
      </c>
      <c r="J24" s="370">
        <f t="shared" si="8"/>
        <v>696</v>
      </c>
      <c r="K24" s="370">
        <f t="shared" si="8"/>
        <v>369</v>
      </c>
      <c r="L24" s="370">
        <f t="shared" si="8"/>
        <v>336</v>
      </c>
      <c r="M24" s="370">
        <f t="shared" si="8"/>
        <v>33</v>
      </c>
      <c r="N24" s="370">
        <f t="shared" si="8"/>
        <v>323</v>
      </c>
      <c r="O24" s="370">
        <f t="shared" si="8"/>
        <v>4</v>
      </c>
      <c r="P24" s="370">
        <f t="shared" si="8"/>
        <v>0</v>
      </c>
      <c r="Q24" s="370">
        <f t="shared" si="8"/>
        <v>268</v>
      </c>
      <c r="R24" s="370">
        <f t="shared" si="8"/>
        <v>56</v>
      </c>
      <c r="S24" s="370">
        <f t="shared" si="8"/>
        <v>1</v>
      </c>
      <c r="T24" s="370">
        <f t="shared" si="8"/>
        <v>652</v>
      </c>
      <c r="U24" s="238">
        <f t="shared" si="2"/>
        <v>0.5301724137931034</v>
      </c>
    </row>
    <row r="25" spans="1:21" ht="14.25" customHeight="1">
      <c r="A25" s="230" t="s">
        <v>13</v>
      </c>
      <c r="B25" s="231" t="s">
        <v>31</v>
      </c>
      <c r="C25" s="232">
        <f>48+18+40+7</f>
        <v>113</v>
      </c>
      <c r="D25" s="370">
        <f>E25+F25</f>
        <v>550</v>
      </c>
      <c r="E25" s="237">
        <f>110+56+37+29+19+63+14+9</f>
        <v>337</v>
      </c>
      <c r="F25" s="232">
        <f>73+18+41+24+5+39+9+4</f>
        <v>213</v>
      </c>
      <c r="G25" s="232">
        <f>5+1+2</f>
        <v>8</v>
      </c>
      <c r="H25" s="232"/>
      <c r="I25" s="370">
        <f>J25+Q25+R25+S25</f>
        <v>542</v>
      </c>
      <c r="J25" s="370">
        <f t="shared" si="5"/>
        <v>378</v>
      </c>
      <c r="K25" s="370">
        <f>L25+M25</f>
        <v>142</v>
      </c>
      <c r="L25" s="232">
        <f>38+13+18+13+5+25+9+2</f>
        <v>123</v>
      </c>
      <c r="M25" s="232">
        <f>10+4+3+2</f>
        <v>19</v>
      </c>
      <c r="N25" s="232">
        <f>81+28+45+20+48+5+6</f>
        <v>233</v>
      </c>
      <c r="O25" s="232">
        <f>1+1+1</f>
        <v>3</v>
      </c>
      <c r="P25" s="232"/>
      <c r="Q25" s="232">
        <f>33+27+12+13+8+22+9+3</f>
        <v>127</v>
      </c>
      <c r="R25" s="232">
        <f>14+1+5+11+5</f>
        <v>36</v>
      </c>
      <c r="S25" s="232">
        <f>1</f>
        <v>1</v>
      </c>
      <c r="T25" s="370">
        <f t="shared" si="7"/>
        <v>400</v>
      </c>
      <c r="U25" s="238">
        <f t="shared" si="2"/>
        <v>0.37566137566137564</v>
      </c>
    </row>
    <row r="26" spans="1:21" ht="14.25" customHeight="1">
      <c r="A26" s="230" t="s">
        <v>14</v>
      </c>
      <c r="B26" s="234" t="s">
        <v>33</v>
      </c>
      <c r="C26" s="232">
        <f>7+1+1</f>
        <v>9</v>
      </c>
      <c r="D26" s="370">
        <f aca="true" t="shared" si="9" ref="D26:D37">E26+F26</f>
        <v>22</v>
      </c>
      <c r="E26" s="237">
        <f>12+1+1</f>
        <v>14</v>
      </c>
      <c r="F26" s="232">
        <f>4+1+1+1+1</f>
        <v>8</v>
      </c>
      <c r="G26" s="232"/>
      <c r="H26" s="232"/>
      <c r="I26" s="370">
        <f aca="true" t="shared" si="10" ref="I26:I37">J26+Q26+R26+S26</f>
        <v>22</v>
      </c>
      <c r="J26" s="370">
        <f t="shared" si="5"/>
        <v>15</v>
      </c>
      <c r="K26" s="370">
        <f aca="true" t="shared" si="11" ref="K26:K37">L26+M26</f>
        <v>6</v>
      </c>
      <c r="L26" s="232">
        <f>4+1</f>
        <v>5</v>
      </c>
      <c r="M26" s="232">
        <f>1</f>
        <v>1</v>
      </c>
      <c r="N26" s="232">
        <f>5+1+1+2</f>
        <v>9</v>
      </c>
      <c r="O26" s="232"/>
      <c r="P26" s="232"/>
      <c r="Q26" s="232">
        <f>6+1</f>
        <v>7</v>
      </c>
      <c r="R26" s="232"/>
      <c r="S26" s="232"/>
      <c r="T26" s="370">
        <f t="shared" si="7"/>
        <v>16</v>
      </c>
      <c r="U26" s="238">
        <f t="shared" si="2"/>
        <v>0.4</v>
      </c>
    </row>
    <row r="27" spans="1:21" ht="14.25" customHeight="1">
      <c r="A27" s="230" t="s">
        <v>19</v>
      </c>
      <c r="B27" s="235" t="s">
        <v>141</v>
      </c>
      <c r="C27" s="232">
        <f>7+4+1</f>
        <v>12</v>
      </c>
      <c r="D27" s="370">
        <f t="shared" si="9"/>
        <v>41</v>
      </c>
      <c r="E27" s="237">
        <f>2+5+3</f>
        <v>10</v>
      </c>
      <c r="F27" s="232">
        <f>5+4+1+7+3+9+2</f>
        <v>31</v>
      </c>
      <c r="G27" s="232">
        <f>2+3</f>
        <v>5</v>
      </c>
      <c r="H27" s="232"/>
      <c r="I27" s="370">
        <f t="shared" si="10"/>
        <v>36</v>
      </c>
      <c r="J27" s="370">
        <f t="shared" si="5"/>
        <v>22</v>
      </c>
      <c r="K27" s="370">
        <f t="shared" si="11"/>
        <v>6</v>
      </c>
      <c r="L27" s="232">
        <f>2+2+1+1</f>
        <v>6</v>
      </c>
      <c r="M27" s="232"/>
      <c r="N27" s="232">
        <f>3+6+2+2+1+1</f>
        <v>15</v>
      </c>
      <c r="O27" s="232">
        <f>1</f>
        <v>1</v>
      </c>
      <c r="P27" s="232"/>
      <c r="Q27" s="232">
        <f>2+1+3+4+1</f>
        <v>11</v>
      </c>
      <c r="R27" s="232">
        <f>2+1</f>
        <v>3</v>
      </c>
      <c r="S27" s="232"/>
      <c r="T27" s="370">
        <f t="shared" si="7"/>
        <v>30</v>
      </c>
      <c r="U27" s="238">
        <f t="shared" si="2"/>
        <v>0.2727272727272727</v>
      </c>
    </row>
    <row r="28" spans="1:21" ht="14.25" customHeight="1">
      <c r="A28" s="230" t="s">
        <v>22</v>
      </c>
      <c r="B28" s="231" t="s">
        <v>145</v>
      </c>
      <c r="C28" s="232"/>
      <c r="D28" s="370">
        <f t="shared" si="9"/>
        <v>0</v>
      </c>
      <c r="E28" s="237"/>
      <c r="F28" s="232"/>
      <c r="G28" s="232"/>
      <c r="H28" s="232"/>
      <c r="I28" s="370">
        <f t="shared" si="10"/>
        <v>0</v>
      </c>
      <c r="J28" s="370">
        <f t="shared" si="5"/>
        <v>0</v>
      </c>
      <c r="K28" s="370">
        <f t="shared" si="11"/>
        <v>0</v>
      </c>
      <c r="L28" s="232"/>
      <c r="M28" s="232"/>
      <c r="N28" s="232"/>
      <c r="O28" s="232"/>
      <c r="P28" s="232"/>
      <c r="Q28" s="232"/>
      <c r="R28" s="232"/>
      <c r="S28" s="232"/>
      <c r="T28" s="370">
        <f t="shared" si="7"/>
        <v>0</v>
      </c>
      <c r="U28" s="238">
        <f t="shared" si="2"/>
      </c>
    </row>
    <row r="29" spans="1:21" ht="16.5" customHeight="1">
      <c r="A29" s="230" t="s">
        <v>23</v>
      </c>
      <c r="B29" s="236" t="s">
        <v>144</v>
      </c>
      <c r="C29" s="232">
        <f>3</f>
        <v>3</v>
      </c>
      <c r="D29" s="370">
        <f t="shared" si="9"/>
        <v>3</v>
      </c>
      <c r="E29" s="237"/>
      <c r="F29" s="232">
        <f>3</f>
        <v>3</v>
      </c>
      <c r="G29" s="232"/>
      <c r="H29" s="232"/>
      <c r="I29" s="370">
        <f t="shared" si="10"/>
        <v>3</v>
      </c>
      <c r="J29" s="370">
        <f t="shared" si="5"/>
        <v>3</v>
      </c>
      <c r="K29" s="370">
        <f t="shared" si="11"/>
        <v>3</v>
      </c>
      <c r="L29" s="232">
        <f>3</f>
        <v>3</v>
      </c>
      <c r="M29" s="232"/>
      <c r="N29" s="232"/>
      <c r="O29" s="232"/>
      <c r="P29" s="232"/>
      <c r="Q29" s="232"/>
      <c r="R29" s="232"/>
      <c r="S29" s="232"/>
      <c r="T29" s="370">
        <f t="shared" si="7"/>
        <v>0</v>
      </c>
      <c r="U29" s="238">
        <f t="shared" si="2"/>
        <v>1</v>
      </c>
    </row>
    <row r="30" spans="1:21" ht="14.25" customHeight="1">
      <c r="A30" s="230" t="s">
        <v>24</v>
      </c>
      <c r="B30" s="231" t="s">
        <v>128</v>
      </c>
      <c r="C30" s="232">
        <f>7+6+11+2</f>
        <v>26</v>
      </c>
      <c r="D30" s="370">
        <f t="shared" si="9"/>
        <v>201</v>
      </c>
      <c r="E30" s="237">
        <f>5+5+7+6+53+8+9+6</f>
        <v>99</v>
      </c>
      <c r="F30" s="232">
        <f>17+6+12+10+29+19+6+3</f>
        <v>102</v>
      </c>
      <c r="G30" s="232">
        <f>1</f>
        <v>1</v>
      </c>
      <c r="H30" s="232"/>
      <c r="I30" s="370">
        <f t="shared" si="10"/>
        <v>200</v>
      </c>
      <c r="J30" s="370">
        <f t="shared" si="5"/>
        <v>98</v>
      </c>
      <c r="K30" s="370">
        <f t="shared" si="11"/>
        <v>80</v>
      </c>
      <c r="L30" s="232">
        <f>9+4+7+6+24+15+6+3</f>
        <v>74</v>
      </c>
      <c r="M30" s="232">
        <f>6</f>
        <v>6</v>
      </c>
      <c r="N30" s="232">
        <f>2+1+1+6+6+2</f>
        <v>18</v>
      </c>
      <c r="O30" s="232"/>
      <c r="P30" s="232"/>
      <c r="Q30" s="232">
        <f>11+6+11+9+30+6+9+4</f>
        <v>86</v>
      </c>
      <c r="R30" s="232">
        <f>16</f>
        <v>16</v>
      </c>
      <c r="S30" s="232"/>
      <c r="T30" s="370">
        <f t="shared" si="7"/>
        <v>120</v>
      </c>
      <c r="U30" s="238">
        <f t="shared" si="2"/>
        <v>0.8163265306122449</v>
      </c>
    </row>
    <row r="31" spans="1:21" ht="14.25" customHeight="1">
      <c r="A31" s="230" t="s">
        <v>25</v>
      </c>
      <c r="B31" s="231" t="s">
        <v>129</v>
      </c>
      <c r="C31" s="232"/>
      <c r="D31" s="370">
        <f t="shared" si="9"/>
        <v>0</v>
      </c>
      <c r="E31" s="237"/>
      <c r="F31" s="232"/>
      <c r="G31" s="232"/>
      <c r="H31" s="232"/>
      <c r="I31" s="370">
        <f t="shared" si="10"/>
        <v>0</v>
      </c>
      <c r="J31" s="370">
        <f t="shared" si="5"/>
        <v>0</v>
      </c>
      <c r="K31" s="370">
        <f t="shared" si="11"/>
        <v>0</v>
      </c>
      <c r="L31" s="232"/>
      <c r="M31" s="232"/>
      <c r="N31" s="232"/>
      <c r="O31" s="232"/>
      <c r="P31" s="232"/>
      <c r="Q31" s="232"/>
      <c r="R31" s="232"/>
      <c r="S31" s="232"/>
      <c r="T31" s="370">
        <f t="shared" si="7"/>
        <v>0</v>
      </c>
      <c r="U31" s="238">
        <f t="shared" si="2"/>
      </c>
    </row>
    <row r="32" spans="1:21" ht="12.75" customHeight="1">
      <c r="A32" s="230" t="s">
        <v>26</v>
      </c>
      <c r="B32" s="231" t="s">
        <v>32</v>
      </c>
      <c r="C32" s="232">
        <f>56+12+32+10</f>
        <v>110</v>
      </c>
      <c r="D32" s="370">
        <f t="shared" si="9"/>
        <v>227</v>
      </c>
      <c r="E32" s="237">
        <f>16+7+8+5+10+4+4</f>
        <v>54</v>
      </c>
      <c r="F32" s="232">
        <f>40+12+32+32+25+9+23</f>
        <v>173</v>
      </c>
      <c r="G32" s="232">
        <f>1+1+5+1+1</f>
        <v>9</v>
      </c>
      <c r="H32" s="232"/>
      <c r="I32" s="370">
        <f t="shared" si="10"/>
        <v>218</v>
      </c>
      <c r="J32" s="370">
        <f t="shared" si="5"/>
        <v>180</v>
      </c>
      <c r="K32" s="370">
        <f t="shared" si="11"/>
        <v>132</v>
      </c>
      <c r="L32" s="232">
        <f>31+11+25+18+3+19+18</f>
        <v>125</v>
      </c>
      <c r="M32" s="232">
        <f>2+1+3+1</f>
        <v>7</v>
      </c>
      <c r="N32" s="232">
        <f>18+3+5+5+11+1+5</f>
        <v>48</v>
      </c>
      <c r="O32" s="232"/>
      <c r="P32" s="232"/>
      <c r="Q32" s="232">
        <f>4+3+6+9+6+7+2</f>
        <v>37</v>
      </c>
      <c r="R32" s="232">
        <f>1</f>
        <v>1</v>
      </c>
      <c r="S32" s="232"/>
      <c r="T32" s="370">
        <f t="shared" si="7"/>
        <v>86</v>
      </c>
      <c r="U32" s="238">
        <f t="shared" si="2"/>
        <v>0.7333333333333333</v>
      </c>
    </row>
    <row r="33" spans="1:21" ht="12.75" customHeight="1">
      <c r="A33" s="230" t="s">
        <v>27</v>
      </c>
      <c r="B33" s="231" t="s">
        <v>34</v>
      </c>
      <c r="C33" s="232"/>
      <c r="D33" s="370">
        <f t="shared" si="9"/>
        <v>0</v>
      </c>
      <c r="E33" s="237"/>
      <c r="F33" s="232"/>
      <c r="G33" s="232"/>
      <c r="H33" s="232"/>
      <c r="I33" s="370">
        <f t="shared" si="10"/>
        <v>0</v>
      </c>
      <c r="J33" s="370">
        <f t="shared" si="5"/>
        <v>0</v>
      </c>
      <c r="K33" s="370">
        <f t="shared" si="11"/>
        <v>0</v>
      </c>
      <c r="L33" s="232"/>
      <c r="M33" s="232"/>
      <c r="N33" s="232"/>
      <c r="O33" s="232"/>
      <c r="P33" s="232"/>
      <c r="Q33" s="232"/>
      <c r="R33" s="232"/>
      <c r="S33" s="232"/>
      <c r="T33" s="370">
        <f t="shared" si="7"/>
        <v>0</v>
      </c>
      <c r="U33" s="238">
        <f t="shared" si="2"/>
      </c>
    </row>
    <row r="34" spans="1:21" ht="12.75" customHeight="1">
      <c r="A34" s="230" t="s">
        <v>29</v>
      </c>
      <c r="B34" s="231" t="s">
        <v>35</v>
      </c>
      <c r="C34" s="232"/>
      <c r="D34" s="370">
        <f t="shared" si="9"/>
        <v>0</v>
      </c>
      <c r="E34" s="237"/>
      <c r="F34" s="232"/>
      <c r="G34" s="232"/>
      <c r="H34" s="232"/>
      <c r="I34" s="370">
        <f t="shared" si="10"/>
        <v>0</v>
      </c>
      <c r="J34" s="370">
        <f t="shared" si="5"/>
        <v>0</v>
      </c>
      <c r="K34" s="370">
        <f t="shared" si="11"/>
        <v>0</v>
      </c>
      <c r="L34" s="232"/>
      <c r="M34" s="232"/>
      <c r="N34" s="232"/>
      <c r="O34" s="232"/>
      <c r="P34" s="232"/>
      <c r="Q34" s="232"/>
      <c r="R34" s="232"/>
      <c r="S34" s="232"/>
      <c r="T34" s="370">
        <f t="shared" si="7"/>
        <v>0</v>
      </c>
      <c r="U34" s="238">
        <f t="shared" si="2"/>
      </c>
    </row>
    <row r="35" spans="1:21" ht="12.75" customHeight="1">
      <c r="A35" s="230" t="s">
        <v>30</v>
      </c>
      <c r="B35" s="231" t="s">
        <v>143</v>
      </c>
      <c r="C35" s="232"/>
      <c r="D35" s="370">
        <f t="shared" si="9"/>
        <v>0</v>
      </c>
      <c r="E35" s="237"/>
      <c r="F35" s="232"/>
      <c r="G35" s="232"/>
      <c r="H35" s="232"/>
      <c r="I35" s="370">
        <f t="shared" si="10"/>
        <v>0</v>
      </c>
      <c r="J35" s="370">
        <f t="shared" si="5"/>
        <v>0</v>
      </c>
      <c r="K35" s="370">
        <f t="shared" si="11"/>
        <v>0</v>
      </c>
      <c r="L35" s="232"/>
      <c r="M35" s="232"/>
      <c r="N35" s="232"/>
      <c r="O35" s="232"/>
      <c r="P35" s="232"/>
      <c r="Q35" s="232"/>
      <c r="R35" s="232"/>
      <c r="S35" s="232"/>
      <c r="T35" s="370">
        <f t="shared" si="7"/>
        <v>0</v>
      </c>
      <c r="U35" s="238">
        <f t="shared" si="2"/>
      </c>
    </row>
    <row r="36" spans="1:21" ht="12.75" customHeight="1">
      <c r="A36" s="230" t="s">
        <v>104</v>
      </c>
      <c r="B36" s="231" t="s">
        <v>142</v>
      </c>
      <c r="C36" s="232"/>
      <c r="D36" s="370">
        <f t="shared" si="9"/>
        <v>0</v>
      </c>
      <c r="E36" s="237"/>
      <c r="F36" s="232"/>
      <c r="G36" s="232"/>
      <c r="H36" s="232"/>
      <c r="I36" s="370">
        <f t="shared" si="10"/>
        <v>0</v>
      </c>
      <c r="J36" s="370">
        <f t="shared" si="5"/>
        <v>0</v>
      </c>
      <c r="K36" s="370">
        <f t="shared" si="11"/>
        <v>0</v>
      </c>
      <c r="L36" s="232"/>
      <c r="M36" s="232"/>
      <c r="N36" s="232"/>
      <c r="O36" s="232"/>
      <c r="P36" s="232"/>
      <c r="Q36" s="232"/>
      <c r="R36" s="232"/>
      <c r="S36" s="232"/>
      <c r="T36" s="370">
        <f t="shared" si="7"/>
        <v>0</v>
      </c>
      <c r="U36" s="238">
        <f t="shared" si="2"/>
      </c>
    </row>
    <row r="37" spans="1:21" ht="12.75" customHeight="1">
      <c r="A37" s="230" t="s">
        <v>101</v>
      </c>
      <c r="B37" s="231" t="s">
        <v>102</v>
      </c>
      <c r="C37" s="232"/>
      <c r="D37" s="370">
        <f t="shared" si="9"/>
        <v>0</v>
      </c>
      <c r="E37" s="237"/>
      <c r="F37" s="232"/>
      <c r="G37" s="232"/>
      <c r="H37" s="232"/>
      <c r="I37" s="370">
        <f t="shared" si="10"/>
        <v>0</v>
      </c>
      <c r="J37" s="370">
        <f t="shared" si="5"/>
        <v>0</v>
      </c>
      <c r="K37" s="370">
        <f t="shared" si="11"/>
        <v>0</v>
      </c>
      <c r="L37" s="232"/>
      <c r="M37" s="232"/>
      <c r="N37" s="232"/>
      <c r="O37" s="232"/>
      <c r="P37" s="232"/>
      <c r="Q37" s="232"/>
      <c r="R37" s="232"/>
      <c r="S37" s="232"/>
      <c r="T37" s="370">
        <f>SUM(N37:S37)</f>
        <v>0</v>
      </c>
      <c r="U37" s="238">
        <f>IF(J37&lt;&gt;0,K37/J37,"")</f>
      </c>
    </row>
    <row r="38" spans="1:21" s="202" customFormat="1" ht="15.75" customHeight="1">
      <c r="A38" s="482" t="str">
        <f>TT!C7</f>
        <v>Tuyên Quang, ngày 4 tháng 5 năm 2022</v>
      </c>
      <c r="B38" s="483"/>
      <c r="C38" s="483"/>
      <c r="D38" s="483"/>
      <c r="E38" s="483"/>
      <c r="F38" s="215"/>
      <c r="G38" s="215"/>
      <c r="H38" s="215"/>
      <c r="I38" s="201"/>
      <c r="J38" s="201"/>
      <c r="K38" s="201"/>
      <c r="L38" s="201"/>
      <c r="M38" s="201"/>
      <c r="N38" s="474" t="str">
        <f>TT!C4</f>
        <v>Tuyên Quang, ngày 4 tháng 5 năm 2022</v>
      </c>
      <c r="O38" s="475"/>
      <c r="P38" s="475"/>
      <c r="Q38" s="475"/>
      <c r="R38" s="475"/>
      <c r="S38" s="475"/>
      <c r="T38" s="475"/>
      <c r="U38" s="475"/>
    </row>
    <row r="39" spans="1:21" ht="19.5" customHeight="1">
      <c r="A39" s="472" t="s">
        <v>290</v>
      </c>
      <c r="B39" s="473"/>
      <c r="C39" s="473"/>
      <c r="D39" s="473"/>
      <c r="E39" s="473"/>
      <c r="F39" s="216"/>
      <c r="G39" s="216"/>
      <c r="H39" s="216"/>
      <c r="I39" s="193"/>
      <c r="J39" s="193"/>
      <c r="K39" s="193"/>
      <c r="L39" s="193"/>
      <c r="M39" s="193"/>
      <c r="N39" s="476" t="str">
        <f>TT!C5</f>
        <v>CỤC TRƯỞNG</v>
      </c>
      <c r="O39" s="476"/>
      <c r="P39" s="476"/>
      <c r="Q39" s="476"/>
      <c r="R39" s="476"/>
      <c r="S39" s="476"/>
      <c r="T39" s="476"/>
      <c r="U39" s="476"/>
    </row>
    <row r="40" spans="1:21" ht="39.75" customHeight="1">
      <c r="A40" s="217"/>
      <c r="B40" s="217"/>
      <c r="C40" s="217"/>
      <c r="D40" s="217"/>
      <c r="E40" s="217"/>
      <c r="F40" s="186"/>
      <c r="G40" s="186"/>
      <c r="H40" s="186"/>
      <c r="I40" s="193"/>
      <c r="J40" s="193"/>
      <c r="K40" s="193"/>
      <c r="L40" s="193"/>
      <c r="M40" s="193"/>
      <c r="N40" s="193"/>
      <c r="O40" s="193"/>
      <c r="P40" s="186"/>
      <c r="Q40" s="203"/>
      <c r="R40" s="186"/>
      <c r="S40" s="193"/>
      <c r="T40" s="189"/>
      <c r="U40" s="189"/>
    </row>
    <row r="41" spans="1:21" ht="15.75" customHeight="1">
      <c r="A41" s="471" t="str">
        <f>TT!C6</f>
        <v>Hà Thị Mai</v>
      </c>
      <c r="B41" s="471"/>
      <c r="C41" s="471"/>
      <c r="D41" s="471"/>
      <c r="E41" s="471"/>
      <c r="F41" s="204" t="s">
        <v>2</v>
      </c>
      <c r="G41" s="204"/>
      <c r="H41" s="204"/>
      <c r="I41" s="204"/>
      <c r="J41" s="204"/>
      <c r="K41" s="204"/>
      <c r="L41" s="204"/>
      <c r="M41" s="204"/>
      <c r="N41" s="470" t="str">
        <f>TT!C3</f>
        <v>Nguyễn Tuyên</v>
      </c>
      <c r="O41" s="470"/>
      <c r="P41" s="470"/>
      <c r="Q41" s="470"/>
      <c r="R41" s="470"/>
      <c r="S41" s="470"/>
      <c r="T41" s="470"/>
      <c r="U41" s="470"/>
    </row>
    <row r="42" spans="1:21" ht="15.75">
      <c r="A42" s="204"/>
      <c r="B42" s="204"/>
      <c r="C42" s="204"/>
      <c r="D42" s="204"/>
      <c r="E42" s="205"/>
      <c r="F42" s="204"/>
      <c r="G42" s="204"/>
      <c r="H42" s="204"/>
      <c r="I42" s="204"/>
      <c r="J42" s="204"/>
      <c r="K42" s="204"/>
      <c r="L42" s="204"/>
      <c r="M42" s="204"/>
      <c r="N42" s="206"/>
      <c r="O42" s="206"/>
      <c r="P42" s="206"/>
      <c r="Q42" s="207"/>
      <c r="R42" s="206"/>
      <c r="S42" s="206"/>
      <c r="T42" s="206"/>
      <c r="U42" s="206"/>
    </row>
  </sheetData>
  <sheetProtection formatCells="0" formatColumns="0" formatRows="0" insertRows="0"/>
  <mergeCells count="35">
    <mergeCell ref="E1:O1"/>
    <mergeCell ref="A3:A7"/>
    <mergeCell ref="Q4:Q7"/>
    <mergeCell ref="E3:F3"/>
    <mergeCell ref="R4:R7"/>
    <mergeCell ref="H3:H7"/>
    <mergeCell ref="A1:D1"/>
    <mergeCell ref="J4:J7"/>
    <mergeCell ref="F4:F7"/>
    <mergeCell ref="G3:G7"/>
    <mergeCell ref="J3:S3"/>
    <mergeCell ref="P1:U1"/>
    <mergeCell ref="E4:E7"/>
    <mergeCell ref="P2:U2"/>
    <mergeCell ref="L5:M6"/>
    <mergeCell ref="N5:N7"/>
    <mergeCell ref="C3:C7"/>
    <mergeCell ref="O5:O7"/>
    <mergeCell ref="K4:P4"/>
    <mergeCell ref="A38:E38"/>
    <mergeCell ref="D3:D7"/>
    <mergeCell ref="P5:P7"/>
    <mergeCell ref="I3:I7"/>
    <mergeCell ref="A9:B9"/>
    <mergeCell ref="B3:B7"/>
    <mergeCell ref="A41:E41"/>
    <mergeCell ref="A39:E39"/>
    <mergeCell ref="N38:U38"/>
    <mergeCell ref="N39:U39"/>
    <mergeCell ref="A8:B8"/>
    <mergeCell ref="U3:U7"/>
    <mergeCell ref="T3:T7"/>
    <mergeCell ref="K5:K7"/>
    <mergeCell ref="S4:S7"/>
    <mergeCell ref="N41:U41"/>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16">
      <selection activeCell="G23" sqref="G23"/>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0" customFormat="1" ht="21.75" customHeight="1">
      <c r="A1" s="740" t="s">
        <v>173</v>
      </c>
      <c r="B1" s="740"/>
      <c r="C1" s="740"/>
      <c r="D1" s="740"/>
      <c r="E1" s="740"/>
      <c r="F1" s="740"/>
      <c r="G1" s="740"/>
      <c r="H1" s="740"/>
    </row>
    <row r="2" spans="1:8" s="90" customFormat="1" ht="21.75" customHeight="1">
      <c r="A2" s="741" t="s">
        <v>446</v>
      </c>
      <c r="B2" s="741"/>
      <c r="C2" s="741"/>
      <c r="D2" s="741"/>
      <c r="E2" s="741"/>
      <c r="F2" s="741"/>
      <c r="G2" s="741"/>
      <c r="H2" s="741"/>
    </row>
    <row r="3" spans="6:8" ht="21" customHeight="1">
      <c r="F3" s="742" t="s">
        <v>295</v>
      </c>
      <c r="G3" s="742"/>
      <c r="H3" s="742"/>
    </row>
    <row r="4" spans="1:8" ht="15.75">
      <c r="A4" s="738" t="s">
        <v>172</v>
      </c>
      <c r="B4" s="738" t="s">
        <v>171</v>
      </c>
      <c r="C4" s="736" t="s">
        <v>168</v>
      </c>
      <c r="D4" s="736"/>
      <c r="E4" s="736"/>
      <c r="F4" s="737" t="s">
        <v>169</v>
      </c>
      <c r="G4" s="737"/>
      <c r="H4" s="737"/>
    </row>
    <row r="5" spans="1:8" ht="95.25" customHeight="1">
      <c r="A5" s="739"/>
      <c r="B5" s="739"/>
      <c r="C5" s="91" t="s">
        <v>166</v>
      </c>
      <c r="D5" s="100" t="s">
        <v>170</v>
      </c>
      <c r="E5" s="99" t="s">
        <v>167</v>
      </c>
      <c r="F5" s="91" t="s">
        <v>166</v>
      </c>
      <c r="G5" s="100" t="s">
        <v>170</v>
      </c>
      <c r="H5" s="99" t="s">
        <v>167</v>
      </c>
    </row>
    <row r="6" spans="1:8" ht="15.75">
      <c r="A6" s="92" t="s">
        <v>0</v>
      </c>
      <c r="B6" s="97" t="s">
        <v>89</v>
      </c>
      <c r="C6" s="175">
        <f>SUM(C7:C19)</f>
        <v>1184</v>
      </c>
      <c r="D6" s="175">
        <f>SUM(D7:D19)</f>
        <v>915</v>
      </c>
      <c r="E6" s="175">
        <f>SUM(E7:E19)</f>
        <v>594</v>
      </c>
      <c r="F6" s="175">
        <f>SUM(F7:F19)</f>
        <v>15199935</v>
      </c>
      <c r="G6" s="175">
        <f>SUM(G7:G19)</f>
        <v>13449697</v>
      </c>
      <c r="H6" s="175">
        <f>SUM(H7:H19)</f>
        <v>9334354</v>
      </c>
    </row>
    <row r="7" spans="1:8" ht="15.75">
      <c r="A7" s="93" t="s">
        <v>13</v>
      </c>
      <c r="B7" s="94" t="s">
        <v>31</v>
      </c>
      <c r="C7" s="211">
        <f>112+49+51+34+4+42+8</f>
        <v>300</v>
      </c>
      <c r="D7" s="212">
        <f>81+24+25+22+4+5+26</f>
        <v>187</v>
      </c>
      <c r="E7" s="368">
        <f>61+12+9+6+2+17+3</f>
        <v>110</v>
      </c>
      <c r="F7" s="211">
        <f>1064801+408159+317852+109466+51837+256159+43978</f>
        <v>2252252</v>
      </c>
      <c r="G7" s="211">
        <f>688627+161842+102726+67742+53792+210814+38498</f>
        <v>1324041</v>
      </c>
      <c r="H7" s="368">
        <f>579660+87210+22308+29564+30233+100879+22207</f>
        <v>872061</v>
      </c>
    </row>
    <row r="8" spans="1:8" ht="15.75">
      <c r="A8" s="93" t="s">
        <v>14</v>
      </c>
      <c r="B8" s="95" t="s">
        <v>33</v>
      </c>
      <c r="C8" s="211">
        <f>1+11+5+1+1+2+3+3</f>
        <v>27</v>
      </c>
      <c r="D8" s="212">
        <f>1+9+4+1+1+2+3</f>
        <v>21</v>
      </c>
      <c r="E8" s="368">
        <f>1+4+3+1+2+3</f>
        <v>14</v>
      </c>
      <c r="F8" s="211">
        <f>37395+390851+209496+39750+10394+14422+75728+22508</f>
        <v>800544</v>
      </c>
      <c r="G8" s="211">
        <f>37395+365326+150599+39750+10394+63809+22508</f>
        <v>689781</v>
      </c>
      <c r="H8" s="368">
        <f>37395+90483+87010+10394+63807+22508</f>
        <v>311597</v>
      </c>
    </row>
    <row r="9" spans="1:8" ht="15.75">
      <c r="A9" s="93" t="s">
        <v>19</v>
      </c>
      <c r="B9" s="95" t="s">
        <v>141</v>
      </c>
      <c r="C9" s="211">
        <f>1</f>
        <v>1</v>
      </c>
      <c r="D9" s="212">
        <f>1</f>
        <v>1</v>
      </c>
      <c r="E9" s="368"/>
      <c r="F9" s="211">
        <f>16059</f>
        <v>16059</v>
      </c>
      <c r="G9" s="211">
        <f>16059</f>
        <v>16059</v>
      </c>
      <c r="H9" s="368"/>
    </row>
    <row r="10" spans="1:8" ht="15.75">
      <c r="A10" s="93" t="s">
        <v>22</v>
      </c>
      <c r="B10" s="94" t="s">
        <v>145</v>
      </c>
      <c r="C10" s="211">
        <f>3+1</f>
        <v>4</v>
      </c>
      <c r="D10" s="212">
        <f>3</f>
        <v>3</v>
      </c>
      <c r="E10" s="368">
        <f>3</f>
        <v>3</v>
      </c>
      <c r="F10" s="211">
        <f>2644377+7700</f>
        <v>2652077</v>
      </c>
      <c r="G10" s="211">
        <f>2625079</f>
        <v>2625079</v>
      </c>
      <c r="H10" s="368">
        <f>2625079</f>
        <v>2625079</v>
      </c>
    </row>
    <row r="11" spans="1:8" ht="25.5">
      <c r="A11" s="93" t="s">
        <v>23</v>
      </c>
      <c r="B11" s="96" t="s">
        <v>144</v>
      </c>
      <c r="C11" s="211">
        <f>1+1+1+3+2+1+1+2</f>
        <v>12</v>
      </c>
      <c r="D11" s="212">
        <f>1+1+3+1+1+1+3</f>
        <v>11</v>
      </c>
      <c r="E11" s="368">
        <f>1+3+1+1+1+1</f>
        <v>8</v>
      </c>
      <c r="F11" s="211">
        <f>5203+4000+18495+112532+10000+27768+19113+2710</f>
        <v>199821</v>
      </c>
      <c r="G11" s="211">
        <f>5203+18495+103451+12460+27768+10000+11964</f>
        <v>189341</v>
      </c>
      <c r="H11" s="368">
        <f>5203+12460+27768+10000+2150+103451</f>
        <v>161032</v>
      </c>
    </row>
    <row r="12" spans="1:8" ht="15.75">
      <c r="A12" s="93" t="s">
        <v>24</v>
      </c>
      <c r="B12" s="94" t="s">
        <v>128</v>
      </c>
      <c r="C12" s="211">
        <f>80+141+189+152+89+8+90+45</f>
        <v>794</v>
      </c>
      <c r="D12" s="212">
        <f>70+136+138+118+82+6+84+29</f>
        <v>663</v>
      </c>
      <c r="E12" s="368">
        <f>47+82+112+45+74+4+54+17</f>
        <v>435</v>
      </c>
      <c r="F12" s="211">
        <f>3011643+1212557+1405380+1471091+684916+58888+811731+335116</f>
        <v>8991322</v>
      </c>
      <c r="G12" s="211">
        <f>2744493+1213898+1357884+1296543+708222+59308+840071+218847</f>
        <v>8439266</v>
      </c>
      <c r="H12" s="368">
        <f>1782006+845805+987312+425827+600063+33424+465763+75122</f>
        <v>5215322</v>
      </c>
    </row>
    <row r="13" spans="1:8" ht="15.75">
      <c r="A13" s="93" t="s">
        <v>25</v>
      </c>
      <c r="B13" s="94" t="s">
        <v>129</v>
      </c>
      <c r="C13" s="211">
        <f>1+1</f>
        <v>2</v>
      </c>
      <c r="D13" s="212"/>
      <c r="E13" s="368"/>
      <c r="F13" s="211">
        <f>300+9440</f>
        <v>9740</v>
      </c>
      <c r="G13" s="211"/>
      <c r="H13" s="368"/>
    </row>
    <row r="14" spans="1:8" ht="15.75">
      <c r="A14" s="93" t="s">
        <v>26</v>
      </c>
      <c r="B14" s="94" t="s">
        <v>32</v>
      </c>
      <c r="C14" s="211">
        <f>13+7+7+7+7+1</f>
        <v>42</v>
      </c>
      <c r="D14" s="212">
        <f>7+3+8+1+7+1</f>
        <v>27</v>
      </c>
      <c r="E14" s="368">
        <f>7+2+5+1+6+1</f>
        <v>22</v>
      </c>
      <c r="F14" s="211">
        <f>157054+22350+11271+7400+20550+300</f>
        <v>218925</v>
      </c>
      <c r="G14" s="211">
        <f>59713+11850+11271+150+23651+300</f>
        <v>106935</v>
      </c>
      <c r="H14" s="368">
        <f>57063+8023+8711+150+15821+300</f>
        <v>90068</v>
      </c>
    </row>
    <row r="15" spans="1:8" ht="15.75">
      <c r="A15" s="93" t="s">
        <v>27</v>
      </c>
      <c r="B15" s="94" t="s">
        <v>34</v>
      </c>
      <c r="C15" s="211">
        <f>2</f>
        <v>2</v>
      </c>
      <c r="D15" s="212">
        <f>2</f>
        <v>2</v>
      </c>
      <c r="E15" s="368">
        <f>2</f>
        <v>2</v>
      </c>
      <c r="F15" s="211">
        <f>59195</f>
        <v>59195</v>
      </c>
      <c r="G15" s="211">
        <f>59195</f>
        <v>59195</v>
      </c>
      <c r="H15" s="368">
        <f>59195</f>
        <v>59195</v>
      </c>
    </row>
    <row r="16" spans="1:8" ht="15.75">
      <c r="A16" s="93" t="s">
        <v>29</v>
      </c>
      <c r="B16" s="94" t="s">
        <v>35</v>
      </c>
      <c r="C16" s="211"/>
      <c r="D16" s="212"/>
      <c r="E16" s="368"/>
      <c r="F16" s="211"/>
      <c r="G16" s="211"/>
      <c r="H16" s="368"/>
    </row>
    <row r="17" spans="1:8" ht="15.75">
      <c r="A17" s="93" t="s">
        <v>30</v>
      </c>
      <c r="B17" s="94" t="s">
        <v>143</v>
      </c>
      <c r="C17" s="211"/>
      <c r="D17" s="212"/>
      <c r="E17" s="368"/>
      <c r="F17" s="211"/>
      <c r="G17" s="211"/>
      <c r="H17" s="368"/>
    </row>
    <row r="18" spans="1:8" ht="15.75">
      <c r="A18" s="93" t="s">
        <v>104</v>
      </c>
      <c r="B18" s="94" t="s">
        <v>142</v>
      </c>
      <c r="C18" s="211"/>
      <c r="D18" s="212"/>
      <c r="E18" s="368"/>
      <c r="F18" s="211"/>
      <c r="G18" s="211"/>
      <c r="H18" s="368"/>
    </row>
    <row r="19" spans="1:8" ht="15.75">
      <c r="A19" s="93" t="s">
        <v>101</v>
      </c>
      <c r="B19" s="94" t="s">
        <v>102</v>
      </c>
      <c r="C19" s="211"/>
      <c r="D19" s="212"/>
      <c r="E19" s="368"/>
      <c r="F19" s="211"/>
      <c r="G19" s="211"/>
      <c r="H19" s="368"/>
    </row>
    <row r="20" spans="1:8" ht="15.75">
      <c r="A20" s="92" t="s">
        <v>1</v>
      </c>
      <c r="B20" s="98" t="s">
        <v>90</v>
      </c>
      <c r="C20" s="175">
        <f>SUM(C21:C33)</f>
        <v>1270</v>
      </c>
      <c r="D20" s="175">
        <f>SUM(D21:D33)</f>
        <v>947</v>
      </c>
      <c r="E20" s="175">
        <f>SUM(E21:E33)</f>
        <v>654</v>
      </c>
      <c r="F20" s="175">
        <f>SUM(F21:F33)</f>
        <v>328951272</v>
      </c>
      <c r="G20" s="175">
        <f>SUM(G21:G33)</f>
        <v>282489744</v>
      </c>
      <c r="H20" s="175">
        <f>SUM(H21:H33)</f>
        <v>207925361</v>
      </c>
    </row>
    <row r="21" spans="1:8" ht="15.75">
      <c r="A21" s="93" t="s">
        <v>13</v>
      </c>
      <c r="B21" s="94" t="s">
        <v>31</v>
      </c>
      <c r="C21" s="211">
        <f>25+254+118+78+78+24+89+16</f>
        <v>682</v>
      </c>
      <c r="D21" s="212">
        <f>18+191+64+52+59+21+47+10</f>
        <v>462</v>
      </c>
      <c r="E21" s="368">
        <f>10+128+43+21+39+15+30+7</f>
        <v>293</v>
      </c>
      <c r="F21" s="211">
        <f>16815820+50911008+25585909+11135812+4465069+2495365+10165956+1719490</f>
        <v>123294429</v>
      </c>
      <c r="G21" s="211">
        <f>14056505+39633812+16666265+7655581+3859213+1985891+5590896+1380077</f>
        <v>90828240</v>
      </c>
      <c r="H21" s="368">
        <f>12751505+28284390+11160300+1299796+3075796+1627271+2871513+819306</f>
        <v>61889877</v>
      </c>
    </row>
    <row r="22" spans="1:8" ht="15.75">
      <c r="A22" s="93" t="s">
        <v>14</v>
      </c>
      <c r="B22" s="95" t="s">
        <v>33</v>
      </c>
      <c r="C22" s="211">
        <f>2+19+2+1+1+2+1+4</f>
        <v>32</v>
      </c>
      <c r="D22" s="212">
        <f>1+17+1+2+1+4</f>
        <v>26</v>
      </c>
      <c r="E22" s="368">
        <f>1+8+2+1+4+1</f>
        <v>17</v>
      </c>
      <c r="F22" s="211">
        <f>19364+4976945+550805+70000+207887+808238+712248+772653</f>
        <v>8118140</v>
      </c>
      <c r="G22" s="211">
        <f>19364+5273624+550805+207887+712248+772653</f>
        <v>7536581</v>
      </c>
      <c r="H22" s="368">
        <f>19364+2611130+550805+207887+712248+772653</f>
        <v>4874087</v>
      </c>
    </row>
    <row r="23" spans="1:8" ht="15.75">
      <c r="A23" s="93" t="s">
        <v>19</v>
      </c>
      <c r="B23" s="95" t="s">
        <v>141</v>
      </c>
      <c r="C23" s="211">
        <f>4+7+5+7+4+5+1+2</f>
        <v>35</v>
      </c>
      <c r="D23" s="212">
        <f>4+2+3+4+2+6+1+1</f>
        <v>23</v>
      </c>
      <c r="E23" s="368">
        <f>4+1</f>
        <v>5</v>
      </c>
      <c r="F23" s="211">
        <f>94739+4509574+8299025+3340722+93244740+1547922+321184+332111</f>
        <v>111690017</v>
      </c>
      <c r="G23" s="211">
        <f>94739+1270664+4885083+92853795+1647897+359003+324665+160354</f>
        <v>101596200</v>
      </c>
      <c r="H23" s="368">
        <f>94739+92811416</f>
        <v>92906155</v>
      </c>
    </row>
    <row r="24" spans="1:8" ht="15.75">
      <c r="A24" s="93" t="s">
        <v>22</v>
      </c>
      <c r="B24" s="94" t="s">
        <v>145</v>
      </c>
      <c r="C24" s="211">
        <f>1</f>
        <v>1</v>
      </c>
      <c r="D24" s="212">
        <f>1</f>
        <v>1</v>
      </c>
      <c r="E24" s="368">
        <f>1</f>
        <v>1</v>
      </c>
      <c r="F24" s="211">
        <f>646482</f>
        <v>646482</v>
      </c>
      <c r="G24" s="211">
        <f>646482</f>
        <v>646482</v>
      </c>
      <c r="H24" s="368">
        <f>646482</f>
        <v>646482</v>
      </c>
    </row>
    <row r="25" spans="1:8" ht="25.5">
      <c r="A25" s="93" t="s">
        <v>23</v>
      </c>
      <c r="B25" s="96" t="s">
        <v>144</v>
      </c>
      <c r="C25" s="211"/>
      <c r="D25" s="212"/>
      <c r="E25" s="368"/>
      <c r="F25" s="211"/>
      <c r="G25" s="211"/>
      <c r="H25" s="368"/>
    </row>
    <row r="26" spans="1:8" ht="15.75">
      <c r="A26" s="93" t="s">
        <v>24</v>
      </c>
      <c r="B26" s="94" t="s">
        <v>128</v>
      </c>
      <c r="C26" s="211">
        <f>171+33+32+14+38+15+21+21</f>
        <v>345</v>
      </c>
      <c r="D26" s="212">
        <f>145+27+27+13+37+15+20+19</f>
        <v>303</v>
      </c>
      <c r="E26" s="368">
        <f>120+20+20+7+28+8+17+16</f>
        <v>236</v>
      </c>
      <c r="F26" s="211">
        <f>71179161+2591456+1435786+922125+1746386+884839+2665908+1208014</f>
        <v>82633675</v>
      </c>
      <c r="G26" s="211">
        <f>68554205+2582894+1485477+912844+1408785+884839+2668951+1118984</f>
        <v>79616979</v>
      </c>
      <c r="H26" s="368">
        <f>39756578+947613+1367405+666872+948092+329585+1203797+774729</f>
        <v>45994671</v>
      </c>
    </row>
    <row r="27" spans="1:8" ht="15.75">
      <c r="A27" s="93" t="s">
        <v>25</v>
      </c>
      <c r="B27" s="94" t="s">
        <v>129</v>
      </c>
      <c r="C27" s="211"/>
      <c r="D27" s="212"/>
      <c r="E27" s="368"/>
      <c r="F27" s="211"/>
      <c r="G27" s="211"/>
      <c r="H27" s="368"/>
    </row>
    <row r="28" spans="1:8" ht="15.75">
      <c r="A28" s="93" t="s">
        <v>26</v>
      </c>
      <c r="B28" s="94" t="s">
        <v>32</v>
      </c>
      <c r="C28" s="211">
        <f>45+29+13+38+13+24+12</f>
        <v>174</v>
      </c>
      <c r="D28" s="212">
        <f>27+19+11+35+12+19+8</f>
        <v>131</v>
      </c>
      <c r="E28" s="368">
        <f>23+12+7+30+7+15+7</f>
        <v>101</v>
      </c>
      <c r="F28" s="211">
        <f>550293+205205+510806+420733+177500+440292+260700</f>
        <v>2565529</v>
      </c>
      <c r="G28" s="211">
        <f>466289+154203+487807+390995+158000+418668+186300</f>
        <v>2262262</v>
      </c>
      <c r="H28" s="368">
        <f>271789+88201+407305+351795+91800+233399+166800</f>
        <v>1611089</v>
      </c>
    </row>
    <row r="29" spans="1:8" ht="15.75">
      <c r="A29" s="93" t="s">
        <v>27</v>
      </c>
      <c r="B29" s="94" t="s">
        <v>34</v>
      </c>
      <c r="C29" s="211"/>
      <c r="D29" s="212"/>
      <c r="E29" s="368"/>
      <c r="F29" s="211"/>
      <c r="G29" s="211"/>
      <c r="H29" s="368"/>
    </row>
    <row r="30" spans="1:8" ht="15.75">
      <c r="A30" s="93" t="s">
        <v>29</v>
      </c>
      <c r="B30" s="94" t="s">
        <v>35</v>
      </c>
      <c r="C30" s="211"/>
      <c r="D30" s="212"/>
      <c r="E30" s="368"/>
      <c r="F30" s="211"/>
      <c r="G30" s="211"/>
      <c r="H30" s="368"/>
    </row>
    <row r="31" spans="1:8" ht="15.75">
      <c r="A31" s="93" t="s">
        <v>30</v>
      </c>
      <c r="B31" s="94" t="s">
        <v>143</v>
      </c>
      <c r="C31" s="211"/>
      <c r="D31" s="212"/>
      <c r="E31" s="368"/>
      <c r="F31" s="211"/>
      <c r="G31" s="211"/>
      <c r="H31" s="368"/>
    </row>
    <row r="32" spans="1:8" ht="15.75">
      <c r="A32" s="93" t="s">
        <v>104</v>
      </c>
      <c r="B32" s="94" t="s">
        <v>142</v>
      </c>
      <c r="C32" s="211"/>
      <c r="D32" s="212"/>
      <c r="E32" s="368"/>
      <c r="F32" s="211"/>
      <c r="G32" s="211"/>
      <c r="H32" s="368"/>
    </row>
    <row r="33" spans="1:8" ht="15.75">
      <c r="A33" s="93" t="s">
        <v>101</v>
      </c>
      <c r="B33" s="94" t="s">
        <v>102</v>
      </c>
      <c r="C33" s="211">
        <f>1</f>
        <v>1</v>
      </c>
      <c r="D33" s="212">
        <f>1</f>
        <v>1</v>
      </c>
      <c r="E33" s="368">
        <f>1</f>
        <v>1</v>
      </c>
      <c r="F33" s="211">
        <f>3000</f>
        <v>3000</v>
      </c>
      <c r="G33" s="211">
        <f>3000</f>
        <v>3000</v>
      </c>
      <c r="H33" s="368">
        <f>3000</f>
        <v>3000</v>
      </c>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25">
      <selection activeCell="D32" sqref="D32"/>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492" t="s">
        <v>99</v>
      </c>
      <c r="B1" s="493"/>
      <c r="C1" s="493"/>
      <c r="D1" s="493"/>
    </row>
    <row r="2" spans="1:4" s="10" customFormat="1" ht="18.75" customHeight="1">
      <c r="A2" s="494" t="s">
        <v>20</v>
      </c>
      <c r="B2" s="495"/>
      <c r="C2" s="19" t="s">
        <v>88</v>
      </c>
      <c r="D2" s="19" t="s">
        <v>91</v>
      </c>
    </row>
    <row r="3" spans="1:4" s="2" customFormat="1" ht="18" customHeight="1">
      <c r="A3" s="21" t="s">
        <v>13</v>
      </c>
      <c r="B3" s="22" t="s">
        <v>87</v>
      </c>
      <c r="C3" s="240">
        <f>C4+C5+C7+C8+C9+C11</f>
        <v>53</v>
      </c>
      <c r="D3" s="240">
        <f>D4+D5+D6+D7+D8+D10+D11</f>
        <v>33</v>
      </c>
    </row>
    <row r="4" spans="1:4" s="2" customFormat="1" ht="18" customHeight="1">
      <c r="A4" s="20" t="s">
        <v>15</v>
      </c>
      <c r="B4" s="23" t="s">
        <v>317</v>
      </c>
      <c r="C4" s="241">
        <f>1+1+1+1+1</f>
        <v>5</v>
      </c>
      <c r="D4" s="241">
        <f>1</f>
        <v>1</v>
      </c>
    </row>
    <row r="5" spans="1:4" s="2" customFormat="1" ht="18" customHeight="1">
      <c r="A5" s="20" t="s">
        <v>16</v>
      </c>
      <c r="B5" s="23" t="s">
        <v>318</v>
      </c>
      <c r="C5" s="241"/>
      <c r="D5" s="241"/>
    </row>
    <row r="6" spans="1:4" s="2" customFormat="1" ht="18" customHeight="1">
      <c r="A6" s="20" t="s">
        <v>41</v>
      </c>
      <c r="B6" s="23" t="s">
        <v>319</v>
      </c>
      <c r="C6" s="242"/>
      <c r="D6" s="241">
        <f>1+13+5+5+2</f>
        <v>26</v>
      </c>
    </row>
    <row r="7" spans="1:4" s="2" customFormat="1" ht="18" customHeight="1">
      <c r="A7" s="20" t="s">
        <v>43</v>
      </c>
      <c r="B7" s="23" t="s">
        <v>320</v>
      </c>
      <c r="C7" s="241"/>
      <c r="D7" s="241">
        <f>6</f>
        <v>6</v>
      </c>
    </row>
    <row r="8" spans="1:4" s="2" customFormat="1" ht="18" customHeight="1">
      <c r="A8" s="20" t="s">
        <v>44</v>
      </c>
      <c r="B8" s="23" t="s">
        <v>321</v>
      </c>
      <c r="C8" s="241"/>
      <c r="D8" s="241"/>
    </row>
    <row r="9" spans="1:4" s="2" customFormat="1" ht="18" customHeight="1">
      <c r="A9" s="20" t="s">
        <v>77</v>
      </c>
      <c r="B9" s="23" t="s">
        <v>322</v>
      </c>
      <c r="C9" s="241">
        <f>8+8+2+9+9+1+11</f>
        <v>48</v>
      </c>
      <c r="D9" s="242"/>
    </row>
    <row r="10" spans="1:4" s="2" customFormat="1" ht="18" customHeight="1">
      <c r="A10" s="20" t="s">
        <v>80</v>
      </c>
      <c r="B10" s="23" t="s">
        <v>323</v>
      </c>
      <c r="C10" s="242"/>
      <c r="D10" s="241"/>
    </row>
    <row r="11" spans="1:4" s="2" customFormat="1" ht="18" customHeight="1">
      <c r="A11" s="20" t="s">
        <v>83</v>
      </c>
      <c r="B11" s="23" t="s">
        <v>324</v>
      </c>
      <c r="C11" s="241"/>
      <c r="D11" s="241"/>
    </row>
    <row r="12" spans="1:4" ht="18" customHeight="1">
      <c r="A12" s="21" t="s">
        <v>14</v>
      </c>
      <c r="B12" s="22" t="s">
        <v>46</v>
      </c>
      <c r="C12" s="243">
        <f>SUM(C13:C15)</f>
        <v>0</v>
      </c>
      <c r="D12" s="243">
        <f>SUM(D13:D15)</f>
        <v>0</v>
      </c>
    </row>
    <row r="13" spans="1:4" ht="18" customHeight="1">
      <c r="A13" s="20" t="s">
        <v>17</v>
      </c>
      <c r="B13" s="24" t="s">
        <v>45</v>
      </c>
      <c r="C13" s="244"/>
      <c r="D13" s="241"/>
    </row>
    <row r="14" spans="1:4" ht="18" customHeight="1">
      <c r="A14" s="20" t="s">
        <v>18</v>
      </c>
      <c r="B14" s="24" t="s">
        <v>86</v>
      </c>
      <c r="C14" s="244"/>
      <c r="D14" s="241"/>
    </row>
    <row r="15" spans="1:4" s="2" customFormat="1" ht="18" customHeight="1">
      <c r="A15" s="20" t="s">
        <v>111</v>
      </c>
      <c r="B15" s="23" t="s">
        <v>109</v>
      </c>
      <c r="C15" s="241"/>
      <c r="D15" s="241"/>
    </row>
    <row r="16" spans="1:4" ht="18" customHeight="1">
      <c r="A16" s="21" t="s">
        <v>19</v>
      </c>
      <c r="B16" s="22" t="s">
        <v>84</v>
      </c>
      <c r="C16" s="243">
        <f>C17+C18+C20+C21+C22+C23+C25</f>
        <v>12</v>
      </c>
      <c r="D16" s="243">
        <f>SUM(D17:D25)</f>
        <v>60</v>
      </c>
    </row>
    <row r="17" spans="1:4" s="2" customFormat="1" ht="18" customHeight="1">
      <c r="A17" s="20" t="s">
        <v>47</v>
      </c>
      <c r="B17" s="23" t="s">
        <v>66</v>
      </c>
      <c r="C17" s="241"/>
      <c r="D17" s="241"/>
    </row>
    <row r="18" spans="1:4" s="2" customFormat="1" ht="18" customHeight="1">
      <c r="A18" s="20" t="s">
        <v>48</v>
      </c>
      <c r="B18" s="23" t="s">
        <v>67</v>
      </c>
      <c r="C18" s="241"/>
      <c r="D18" s="241"/>
    </row>
    <row r="19" spans="1:4" s="2" customFormat="1" ht="18" customHeight="1">
      <c r="A19" s="20" t="s">
        <v>92</v>
      </c>
      <c r="B19" s="23" t="s">
        <v>79</v>
      </c>
      <c r="C19" s="242"/>
      <c r="D19" s="241">
        <f>2+1+1</f>
        <v>4</v>
      </c>
    </row>
    <row r="20" spans="1:4" s="16" customFormat="1" ht="18" customHeight="1">
      <c r="A20" s="20" t="s">
        <v>93</v>
      </c>
      <c r="B20" s="23" t="s">
        <v>68</v>
      </c>
      <c r="C20" s="241">
        <f>3+5+1+3</f>
        <v>12</v>
      </c>
      <c r="D20" s="241">
        <f>5+1+16+2+27+5</f>
        <v>56</v>
      </c>
    </row>
    <row r="21" spans="1:4" s="2" customFormat="1" ht="18" customHeight="1">
      <c r="A21" s="20" t="s">
        <v>112</v>
      </c>
      <c r="B21" s="23" t="s">
        <v>69</v>
      </c>
      <c r="C21" s="241"/>
      <c r="D21" s="241"/>
    </row>
    <row r="22" spans="1:4" s="2" customFormat="1" ht="18" customHeight="1">
      <c r="A22" s="20" t="s">
        <v>113</v>
      </c>
      <c r="B22" s="23" t="s">
        <v>70</v>
      </c>
      <c r="C22" s="241"/>
      <c r="D22" s="241"/>
    </row>
    <row r="23" spans="1:4" s="2" customFormat="1" ht="18" customHeight="1">
      <c r="A23" s="20" t="s">
        <v>114</v>
      </c>
      <c r="B23" s="23" t="s">
        <v>71</v>
      </c>
      <c r="C23" s="241"/>
      <c r="D23" s="241"/>
    </row>
    <row r="24" spans="1:4" s="2" customFormat="1" ht="18" customHeight="1">
      <c r="A24" s="20" t="s">
        <v>115</v>
      </c>
      <c r="B24" s="23" t="s">
        <v>78</v>
      </c>
      <c r="C24" s="242"/>
      <c r="D24" s="241"/>
    </row>
    <row r="25" spans="1:4" s="16" customFormat="1" ht="18" customHeight="1">
      <c r="A25" s="20" t="s">
        <v>116</v>
      </c>
      <c r="B25" s="23" t="s">
        <v>72</v>
      </c>
      <c r="C25" s="241"/>
      <c r="D25" s="241"/>
    </row>
    <row r="26" spans="1:4" s="13" customFormat="1" ht="18" customHeight="1">
      <c r="A26" s="21" t="s">
        <v>22</v>
      </c>
      <c r="B26" s="22" t="s">
        <v>85</v>
      </c>
      <c r="C26" s="243">
        <f>C27+C28</f>
        <v>0</v>
      </c>
      <c r="D26" s="243">
        <f>D27+D28</f>
        <v>1</v>
      </c>
    </row>
    <row r="27" spans="1:4" s="14" customFormat="1" ht="18" customHeight="1">
      <c r="A27" s="20" t="s">
        <v>49</v>
      </c>
      <c r="B27" s="23" t="s">
        <v>73</v>
      </c>
      <c r="C27" s="241"/>
      <c r="D27" s="241">
        <f>1</f>
        <v>1</v>
      </c>
    </row>
    <row r="28" spans="1:4" s="15" customFormat="1" ht="18" customHeight="1">
      <c r="A28" s="20" t="s">
        <v>50</v>
      </c>
      <c r="B28" s="23" t="s">
        <v>74</v>
      </c>
      <c r="C28" s="241"/>
      <c r="D28" s="241"/>
    </row>
    <row r="29" spans="1:4" s="2" customFormat="1" ht="18" customHeight="1">
      <c r="A29" s="32" t="s">
        <v>23</v>
      </c>
      <c r="B29" s="33" t="s">
        <v>110</v>
      </c>
      <c r="C29" s="243">
        <f>SUM(C30:C33)</f>
        <v>302</v>
      </c>
      <c r="D29" s="243">
        <f>SUM(D30:D33)</f>
        <v>268</v>
      </c>
    </row>
    <row r="30" spans="1:4" s="2" customFormat="1" ht="18" customHeight="1">
      <c r="A30" s="30" t="s">
        <v>76</v>
      </c>
      <c r="B30" s="31" t="s">
        <v>63</v>
      </c>
      <c r="C30" s="243">
        <v>300</v>
      </c>
      <c r="D30" s="241">
        <v>268</v>
      </c>
    </row>
    <row r="31" spans="1:4" s="17" customFormat="1" ht="18" customHeight="1">
      <c r="A31" s="30" t="s">
        <v>51</v>
      </c>
      <c r="B31" s="31" t="s">
        <v>64</v>
      </c>
      <c r="C31" s="243"/>
      <c r="D31" s="241"/>
    </row>
    <row r="32" spans="1:4" s="17" customFormat="1" ht="18" customHeight="1">
      <c r="A32" s="30" t="s">
        <v>52</v>
      </c>
      <c r="B32" s="31" t="s">
        <v>65</v>
      </c>
      <c r="C32" s="243">
        <v>2</v>
      </c>
      <c r="D32" s="241"/>
    </row>
    <row r="33" spans="1:4" s="18" customFormat="1" ht="18" customHeight="1">
      <c r="A33" s="30" t="s">
        <v>117</v>
      </c>
      <c r="B33" s="31" t="s">
        <v>130</v>
      </c>
      <c r="C33" s="243"/>
      <c r="D33" s="241"/>
    </row>
    <row r="34" spans="1:4" s="18" customFormat="1" ht="18" customHeight="1">
      <c r="A34" s="32" t="s">
        <v>24</v>
      </c>
      <c r="B34" s="33" t="s">
        <v>135</v>
      </c>
      <c r="C34" s="243">
        <v>614</v>
      </c>
      <c r="D34" s="241">
        <v>617</v>
      </c>
    </row>
    <row r="35" spans="1:4" s="18" customFormat="1" ht="42" customHeight="1">
      <c r="A35" s="496" t="s">
        <v>140</v>
      </c>
      <c r="B35" s="496"/>
      <c r="C35" s="496"/>
      <c r="D35" s="496"/>
    </row>
    <row r="36" spans="1:4" ht="15.75">
      <c r="A36" s="497" t="s">
        <v>308</v>
      </c>
      <c r="B36" s="497"/>
      <c r="C36" s="497"/>
      <c r="D36" s="497"/>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SheetLayoutView="100" zoomScalePageLayoutView="0" workbookViewId="0" topLeftCell="A16">
      <selection activeCell="Q28" sqref="Q28"/>
    </sheetView>
  </sheetViews>
  <sheetFormatPr defaultColWidth="9.00390625" defaultRowHeight="15.75"/>
  <cols>
    <col min="1" max="1" width="3.75390625" style="4" customWidth="1"/>
    <col min="2" max="2" width="24.875" style="4" customWidth="1"/>
    <col min="3" max="3" width="9.875" style="4" customWidth="1"/>
    <col min="4" max="4" width="10.00390625" style="4" customWidth="1"/>
    <col min="5" max="5" width="9.875" style="4" customWidth="1"/>
    <col min="6" max="6" width="8.00390625" style="4" customWidth="1"/>
    <col min="7" max="7" width="7.00390625" style="4" customWidth="1"/>
    <col min="8" max="8" width="9.875" style="4" customWidth="1"/>
    <col min="9" max="9" width="9.75390625" style="4" customWidth="1"/>
    <col min="10" max="10" width="9.50390625" style="4" customWidth="1"/>
    <col min="11" max="11" width="9.375" style="4" customWidth="1"/>
    <col min="12" max="12" width="8.875" style="4" customWidth="1"/>
    <col min="13" max="13" width="7.625" style="8" customWidth="1"/>
    <col min="14" max="14" width="9.00390625" style="8" customWidth="1"/>
    <col min="15" max="15" width="7.125" style="8" customWidth="1"/>
    <col min="16" max="16" width="5.375" style="8" customWidth="1"/>
    <col min="17" max="17" width="9.625" style="8" customWidth="1"/>
    <col min="18" max="18" width="8.50390625" style="8" customWidth="1"/>
    <col min="19" max="19" width="7.25390625" style="8" customWidth="1"/>
    <col min="20" max="20" width="9.375" style="8" customWidth="1"/>
    <col min="21" max="21" width="7.375" style="8" customWidth="1"/>
    <col min="22" max="16384" width="9.00390625" style="4" customWidth="1"/>
  </cols>
  <sheetData>
    <row r="1" spans="1:21" ht="65.25" customHeight="1">
      <c r="A1" s="510" t="s">
        <v>326</v>
      </c>
      <c r="B1" s="510"/>
      <c r="C1" s="510"/>
      <c r="D1" s="510"/>
      <c r="E1" s="487" t="s">
        <v>435</v>
      </c>
      <c r="F1" s="487"/>
      <c r="G1" s="487"/>
      <c r="H1" s="487"/>
      <c r="I1" s="487"/>
      <c r="J1" s="487"/>
      <c r="K1" s="487"/>
      <c r="L1" s="487"/>
      <c r="M1" s="487"/>
      <c r="N1" s="487"/>
      <c r="O1" s="487"/>
      <c r="P1" s="508" t="str">
        <f>TT!C2</f>
        <v>Đơn vị  báo cáo: 
Cục Thi hành án dân sự tỉnh Tuyên Quang
Đơn vị nhận báo cáo: Tổng cục Thi hành án dân sự</v>
      </c>
      <c r="Q1" s="508"/>
      <c r="R1" s="508"/>
      <c r="S1" s="508"/>
      <c r="T1" s="508"/>
      <c r="U1" s="508"/>
    </row>
    <row r="2" spans="1:22" ht="17.25" customHeight="1">
      <c r="A2" s="25"/>
      <c r="B2" s="27"/>
      <c r="C2" s="27"/>
      <c r="D2" s="6"/>
      <c r="E2" s="6"/>
      <c r="F2" s="6"/>
      <c r="G2" s="6"/>
      <c r="H2" s="37"/>
      <c r="I2" s="38"/>
      <c r="J2" s="39"/>
      <c r="K2" s="39"/>
      <c r="L2" s="39"/>
      <c r="M2" s="40"/>
      <c r="N2" s="26"/>
      <c r="O2" s="26"/>
      <c r="P2" s="511" t="s">
        <v>161</v>
      </c>
      <c r="Q2" s="511"/>
      <c r="R2" s="511"/>
      <c r="S2" s="511"/>
      <c r="T2" s="511"/>
      <c r="U2" s="511"/>
      <c r="V2" s="36"/>
    </row>
    <row r="3" spans="1:21" s="11" customFormat="1" ht="15.75" customHeight="1">
      <c r="A3" s="503" t="s">
        <v>136</v>
      </c>
      <c r="B3" s="503" t="s">
        <v>157</v>
      </c>
      <c r="C3" s="502" t="s">
        <v>134</v>
      </c>
      <c r="D3" s="502" t="s">
        <v>4</v>
      </c>
      <c r="E3" s="502"/>
      <c r="F3" s="502" t="s">
        <v>36</v>
      </c>
      <c r="G3" s="509" t="s">
        <v>158</v>
      </c>
      <c r="H3" s="502" t="s">
        <v>37</v>
      </c>
      <c r="I3" s="517" t="s">
        <v>4</v>
      </c>
      <c r="J3" s="518"/>
      <c r="K3" s="518"/>
      <c r="L3" s="518"/>
      <c r="M3" s="518"/>
      <c r="N3" s="518"/>
      <c r="O3" s="518"/>
      <c r="P3" s="518"/>
      <c r="Q3" s="518"/>
      <c r="R3" s="518"/>
      <c r="S3" s="518"/>
      <c r="T3" s="512" t="s">
        <v>103</v>
      </c>
      <c r="U3" s="515" t="s">
        <v>160</v>
      </c>
    </row>
    <row r="4" spans="1:21" s="12" customFormat="1" ht="15.75" customHeight="1">
      <c r="A4" s="504"/>
      <c r="B4" s="504"/>
      <c r="C4" s="502"/>
      <c r="D4" s="502" t="s">
        <v>137</v>
      </c>
      <c r="E4" s="502" t="s">
        <v>62</v>
      </c>
      <c r="F4" s="502"/>
      <c r="G4" s="509"/>
      <c r="H4" s="502"/>
      <c r="I4" s="502" t="s">
        <v>61</v>
      </c>
      <c r="J4" s="502" t="s">
        <v>4</v>
      </c>
      <c r="K4" s="502"/>
      <c r="L4" s="502"/>
      <c r="M4" s="502"/>
      <c r="N4" s="502"/>
      <c r="O4" s="502"/>
      <c r="P4" s="502"/>
      <c r="Q4" s="509" t="s">
        <v>139</v>
      </c>
      <c r="R4" s="502" t="s">
        <v>148</v>
      </c>
      <c r="S4" s="506" t="s">
        <v>81</v>
      </c>
      <c r="T4" s="513"/>
      <c r="U4" s="516"/>
    </row>
    <row r="5" spans="1:21" s="11" customFormat="1" ht="15.75" customHeight="1">
      <c r="A5" s="504"/>
      <c r="B5" s="504"/>
      <c r="C5" s="502"/>
      <c r="D5" s="502"/>
      <c r="E5" s="502"/>
      <c r="F5" s="502"/>
      <c r="G5" s="509"/>
      <c r="H5" s="502"/>
      <c r="I5" s="502"/>
      <c r="J5" s="502" t="s">
        <v>96</v>
      </c>
      <c r="K5" s="502" t="s">
        <v>4</v>
      </c>
      <c r="L5" s="502"/>
      <c r="M5" s="502"/>
      <c r="N5" s="502" t="s">
        <v>42</v>
      </c>
      <c r="O5" s="502" t="s">
        <v>147</v>
      </c>
      <c r="P5" s="507" t="s">
        <v>46</v>
      </c>
      <c r="Q5" s="509"/>
      <c r="R5" s="502"/>
      <c r="S5" s="506"/>
      <c r="T5" s="513"/>
      <c r="U5" s="516"/>
    </row>
    <row r="6" spans="1:21" s="11" customFormat="1" ht="15.75" customHeight="1">
      <c r="A6" s="504"/>
      <c r="B6" s="504"/>
      <c r="C6" s="502"/>
      <c r="D6" s="502"/>
      <c r="E6" s="502"/>
      <c r="F6" s="502"/>
      <c r="G6" s="509"/>
      <c r="H6" s="502"/>
      <c r="I6" s="502"/>
      <c r="J6" s="502"/>
      <c r="K6" s="502"/>
      <c r="L6" s="502"/>
      <c r="M6" s="502"/>
      <c r="N6" s="502"/>
      <c r="O6" s="502"/>
      <c r="P6" s="507"/>
      <c r="Q6" s="509"/>
      <c r="R6" s="502"/>
      <c r="S6" s="506"/>
      <c r="T6" s="513"/>
      <c r="U6" s="516"/>
    </row>
    <row r="7" spans="1:23" s="11" customFormat="1" ht="57" customHeight="1">
      <c r="A7" s="505"/>
      <c r="B7" s="505"/>
      <c r="C7" s="502"/>
      <c r="D7" s="502"/>
      <c r="E7" s="502"/>
      <c r="F7" s="502"/>
      <c r="G7" s="509"/>
      <c r="H7" s="502"/>
      <c r="I7" s="502"/>
      <c r="J7" s="502"/>
      <c r="K7" s="60" t="s">
        <v>39</v>
      </c>
      <c r="L7" s="60" t="s">
        <v>138</v>
      </c>
      <c r="M7" s="60" t="s">
        <v>156</v>
      </c>
      <c r="N7" s="502"/>
      <c r="O7" s="502"/>
      <c r="P7" s="507"/>
      <c r="Q7" s="509"/>
      <c r="R7" s="502"/>
      <c r="S7" s="506"/>
      <c r="T7" s="514"/>
      <c r="U7" s="516"/>
      <c r="W7" s="45"/>
    </row>
    <row r="8" spans="1:21" ht="18" customHeight="1">
      <c r="A8" s="498" t="s">
        <v>3</v>
      </c>
      <c r="B8" s="499"/>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2" s="441" customFormat="1" ht="15.75" customHeight="1">
      <c r="A9" s="500" t="s">
        <v>10</v>
      </c>
      <c r="B9" s="501"/>
      <c r="C9" s="370">
        <f>C10+C24</f>
        <v>194665113</v>
      </c>
      <c r="D9" s="370">
        <f aca="true" t="shared" si="0" ref="D9:T9">D10+D24</f>
        <v>71419713</v>
      </c>
      <c r="E9" s="370">
        <f t="shared" si="0"/>
        <v>123245400</v>
      </c>
      <c r="F9" s="370">
        <f t="shared" si="0"/>
        <v>5390138</v>
      </c>
      <c r="G9" s="370">
        <f t="shared" si="0"/>
        <v>1375</v>
      </c>
      <c r="H9" s="370">
        <f t="shared" si="0"/>
        <v>189273600</v>
      </c>
      <c r="I9" s="370">
        <f t="shared" si="0"/>
        <v>100656743</v>
      </c>
      <c r="J9" s="370">
        <f t="shared" si="0"/>
        <v>58022622</v>
      </c>
      <c r="K9" s="370">
        <f t="shared" si="0"/>
        <v>47672525</v>
      </c>
      <c r="L9" s="370">
        <f t="shared" si="0"/>
        <v>10100409</v>
      </c>
      <c r="M9" s="370">
        <f t="shared" si="0"/>
        <v>249688</v>
      </c>
      <c r="N9" s="370">
        <f t="shared" si="0"/>
        <v>42459432</v>
      </c>
      <c r="O9" s="370">
        <f t="shared" si="0"/>
        <v>174689</v>
      </c>
      <c r="P9" s="370">
        <f t="shared" si="0"/>
        <v>0</v>
      </c>
      <c r="Q9" s="370">
        <f t="shared" si="0"/>
        <v>73154791</v>
      </c>
      <c r="R9" s="370">
        <f t="shared" si="0"/>
        <v>14641104</v>
      </c>
      <c r="S9" s="370">
        <f t="shared" si="0"/>
        <v>820962</v>
      </c>
      <c r="T9" s="370">
        <f t="shared" si="0"/>
        <v>131250978</v>
      </c>
      <c r="U9" s="238">
        <f>IF(I9&lt;&gt;0,J9/I9,"")</f>
        <v>0.5764404874495095</v>
      </c>
      <c r="V9" s="441" t="s">
        <v>2</v>
      </c>
    </row>
    <row r="10" spans="1:21" ht="15.75" customHeight="1">
      <c r="A10" s="223" t="s">
        <v>0</v>
      </c>
      <c r="B10" s="224" t="s">
        <v>89</v>
      </c>
      <c r="C10" s="372">
        <f>SUM(C11:C23)</f>
        <v>19790200</v>
      </c>
      <c r="D10" s="372">
        <f aca="true" t="shared" si="1" ref="D10:T10">SUM(D11:D23)</f>
        <v>4409502</v>
      </c>
      <c r="E10" s="372">
        <f t="shared" si="1"/>
        <v>15380698</v>
      </c>
      <c r="F10" s="372">
        <f t="shared" si="1"/>
        <v>549255</v>
      </c>
      <c r="G10" s="372">
        <f t="shared" si="1"/>
        <v>1375</v>
      </c>
      <c r="H10" s="372">
        <f t="shared" si="1"/>
        <v>19239570</v>
      </c>
      <c r="I10" s="372">
        <f t="shared" si="1"/>
        <v>15347390</v>
      </c>
      <c r="J10" s="372">
        <f t="shared" si="1"/>
        <v>13301885</v>
      </c>
      <c r="K10" s="372">
        <f t="shared" si="1"/>
        <v>12749587</v>
      </c>
      <c r="L10" s="372">
        <f t="shared" si="1"/>
        <v>302610</v>
      </c>
      <c r="M10" s="372">
        <f t="shared" si="1"/>
        <v>249688</v>
      </c>
      <c r="N10" s="372">
        <f t="shared" si="1"/>
        <v>2045505</v>
      </c>
      <c r="O10" s="372">
        <f t="shared" si="1"/>
        <v>0</v>
      </c>
      <c r="P10" s="372">
        <f t="shared" si="1"/>
        <v>0</v>
      </c>
      <c r="Q10" s="372">
        <f t="shared" si="1"/>
        <v>3692315</v>
      </c>
      <c r="R10" s="372">
        <f t="shared" si="1"/>
        <v>199865</v>
      </c>
      <c r="S10" s="372">
        <f t="shared" si="1"/>
        <v>0</v>
      </c>
      <c r="T10" s="372">
        <f t="shared" si="1"/>
        <v>5937685</v>
      </c>
      <c r="U10" s="253">
        <f aca="true" t="shared" si="2" ref="U10:U37">IF(I10&lt;&gt;0,J10/I10,"")</f>
        <v>0.8667196832816525</v>
      </c>
    </row>
    <row r="11" spans="1:23" ht="15.75" customHeight="1">
      <c r="A11" s="225" t="s">
        <v>13</v>
      </c>
      <c r="B11" s="226" t="s">
        <v>31</v>
      </c>
      <c r="C11" s="371">
        <f>D11+E11</f>
        <v>4629148</v>
      </c>
      <c r="D11" s="254">
        <f>210605+244605+140887+50272+207215+3499+13271</f>
        <v>870354</v>
      </c>
      <c r="E11" s="255">
        <f>1646890+429191+532255+135998+37176+712928+211073+53283</f>
        <v>3758794</v>
      </c>
      <c r="F11" s="255">
        <f>33389+7058+316+37313</f>
        <v>78076</v>
      </c>
      <c r="G11" s="255"/>
      <c r="H11" s="371">
        <f>I11+Q11+R11+S11</f>
        <v>4551072</v>
      </c>
      <c r="I11" s="371">
        <f>J11+N11+O11+P11</f>
        <v>3982016</v>
      </c>
      <c r="J11" s="373">
        <f>K11+L11+M11</f>
        <v>3191041</v>
      </c>
      <c r="K11" s="255">
        <f>1351769+382690+494644+105580+36860+586032+165449+44637</f>
        <v>3167661</v>
      </c>
      <c r="L11" s="255">
        <f>14225+3557+1238+4160+200</f>
        <v>23380</v>
      </c>
      <c r="M11" s="255"/>
      <c r="N11" s="255">
        <f>280348+175057+68337+30677+227340+9216</f>
        <v>790975</v>
      </c>
      <c r="O11" s="255"/>
      <c r="P11" s="255"/>
      <c r="Q11" s="255">
        <f>63220+91097+106604+23928+66197+11810+12501</f>
        <v>375357</v>
      </c>
      <c r="R11" s="255">
        <f>114544+17894+24847+36414</f>
        <v>193699</v>
      </c>
      <c r="S11" s="255"/>
      <c r="T11" s="371">
        <f>SUM(N11:S11)</f>
        <v>1360031</v>
      </c>
      <c r="U11" s="253">
        <f t="shared" si="2"/>
        <v>0.8013631788521192</v>
      </c>
      <c r="V11" s="61" t="s">
        <v>2</v>
      </c>
      <c r="W11" s="4" t="s">
        <v>2</v>
      </c>
    </row>
    <row r="12" spans="1:21" ht="15.75" customHeight="1">
      <c r="A12" s="225" t="s">
        <v>14</v>
      </c>
      <c r="B12" s="251" t="s">
        <v>33</v>
      </c>
      <c r="C12" s="371">
        <f aca="true" t="shared" si="3" ref="C12:C37">D12+E12</f>
        <v>1252382</v>
      </c>
      <c r="D12" s="254">
        <f>334422+39750+22368</f>
        <v>396540</v>
      </c>
      <c r="E12" s="255">
        <f>359364+7226+61450+396336+28755+2711</f>
        <v>855842</v>
      </c>
      <c r="F12" s="255">
        <f>9859</f>
        <v>9859</v>
      </c>
      <c r="G12" s="255"/>
      <c r="H12" s="371">
        <f aca="true" t="shared" si="4" ref="H12:H23">I12+Q12+R12+S12</f>
        <v>1242523</v>
      </c>
      <c r="I12" s="371">
        <f aca="true" t="shared" si="5" ref="I12:I37">J12+N12+O12+P12</f>
        <v>873741</v>
      </c>
      <c r="J12" s="373">
        <f aca="true" t="shared" si="6" ref="J12:J23">K12+L12+M12</f>
        <v>721087</v>
      </c>
      <c r="K12" s="255">
        <f>383559+7226+17040+296218+14333+2711</f>
        <v>721087</v>
      </c>
      <c r="L12" s="255"/>
      <c r="M12" s="255"/>
      <c r="N12" s="255">
        <f>38971+11920+100118+1645</f>
        <v>152654</v>
      </c>
      <c r="O12" s="255"/>
      <c r="P12" s="255"/>
      <c r="Q12" s="255">
        <f>261397+39750+32490+22368+12777</f>
        <v>368782</v>
      </c>
      <c r="R12" s="255"/>
      <c r="S12" s="255"/>
      <c r="T12" s="371">
        <f aca="true" t="shared" si="7" ref="T12:T23">SUM(N12:S12)</f>
        <v>521436</v>
      </c>
      <c r="U12" s="253">
        <f t="shared" si="2"/>
        <v>0.8252868985202709</v>
      </c>
    </row>
    <row r="13" spans="1:21" ht="15.75" customHeight="1">
      <c r="A13" s="225" t="s">
        <v>19</v>
      </c>
      <c r="B13" s="252" t="s">
        <v>141</v>
      </c>
      <c r="C13" s="371">
        <f t="shared" si="3"/>
        <v>28636</v>
      </c>
      <c r="D13" s="254"/>
      <c r="E13" s="255">
        <f>16059+12577</f>
        <v>28636</v>
      </c>
      <c r="F13" s="255">
        <f>12577</f>
        <v>12577</v>
      </c>
      <c r="G13" s="255"/>
      <c r="H13" s="371">
        <f t="shared" si="4"/>
        <v>16059</v>
      </c>
      <c r="I13" s="371">
        <f t="shared" si="5"/>
        <v>0</v>
      </c>
      <c r="J13" s="373">
        <f t="shared" si="6"/>
        <v>0</v>
      </c>
      <c r="K13" s="255"/>
      <c r="L13" s="255"/>
      <c r="M13" s="255"/>
      <c r="N13" s="255"/>
      <c r="O13" s="255"/>
      <c r="P13" s="255"/>
      <c r="Q13" s="255">
        <f>16059</f>
        <v>16059</v>
      </c>
      <c r="R13" s="255"/>
      <c r="S13" s="255"/>
      <c r="T13" s="371">
        <f t="shared" si="7"/>
        <v>16059</v>
      </c>
      <c r="U13" s="253">
        <f t="shared" si="2"/>
      </c>
    </row>
    <row r="14" spans="1:21" ht="15.75" customHeight="1">
      <c r="A14" s="225" t="s">
        <v>22</v>
      </c>
      <c r="B14" s="226" t="s">
        <v>145</v>
      </c>
      <c r="C14" s="371">
        <f t="shared" si="3"/>
        <v>171070</v>
      </c>
      <c r="D14" s="254"/>
      <c r="E14" s="255">
        <f>1210+10213+159647</f>
        <v>171070</v>
      </c>
      <c r="F14" s="255"/>
      <c r="G14" s="255"/>
      <c r="H14" s="371">
        <f t="shared" si="4"/>
        <v>171070</v>
      </c>
      <c r="I14" s="371">
        <f t="shared" si="5"/>
        <v>171070</v>
      </c>
      <c r="J14" s="373">
        <f t="shared" si="6"/>
        <v>163370</v>
      </c>
      <c r="K14" s="255">
        <f>1210+10213+151947</f>
        <v>163370</v>
      </c>
      <c r="L14" s="255"/>
      <c r="M14" s="255"/>
      <c r="N14" s="255">
        <f>7700</f>
        <v>7700</v>
      </c>
      <c r="O14" s="255"/>
      <c r="P14" s="255"/>
      <c r="Q14" s="255"/>
      <c r="R14" s="255"/>
      <c r="S14" s="255"/>
      <c r="T14" s="371">
        <f t="shared" si="7"/>
        <v>7700</v>
      </c>
      <c r="U14" s="253">
        <f t="shared" si="2"/>
        <v>0.9549891857134506</v>
      </c>
    </row>
    <row r="15" spans="1:21" ht="21.75" customHeight="1">
      <c r="A15" s="225" t="s">
        <v>23</v>
      </c>
      <c r="B15" s="227" t="s">
        <v>144</v>
      </c>
      <c r="C15" s="371">
        <f t="shared" si="3"/>
        <v>487313</v>
      </c>
      <c r="D15" s="254">
        <f>4272+18495+560</f>
        <v>23327</v>
      </c>
      <c r="E15" s="255">
        <f>347428+9418+5204+101936</f>
        <v>463986</v>
      </c>
      <c r="F15" s="255"/>
      <c r="G15" s="255"/>
      <c r="H15" s="371">
        <f t="shared" si="4"/>
        <v>487313</v>
      </c>
      <c r="I15" s="371">
        <f t="shared" si="5"/>
        <v>468818</v>
      </c>
      <c r="J15" s="373">
        <f t="shared" si="6"/>
        <v>461758</v>
      </c>
      <c r="K15" s="255">
        <f>347700+9418+2704+101936</f>
        <v>461758</v>
      </c>
      <c r="L15" s="255"/>
      <c r="M15" s="255"/>
      <c r="N15" s="255">
        <f>4000+2500+560</f>
        <v>7060</v>
      </c>
      <c r="O15" s="255"/>
      <c r="P15" s="255"/>
      <c r="Q15" s="255">
        <f>18495</f>
        <v>18495</v>
      </c>
      <c r="R15" s="255"/>
      <c r="S15" s="255"/>
      <c r="T15" s="371">
        <f t="shared" si="7"/>
        <v>25555</v>
      </c>
      <c r="U15" s="253">
        <f t="shared" si="2"/>
        <v>0.9849408512471791</v>
      </c>
    </row>
    <row r="16" spans="1:23" ht="15.75" customHeight="1">
      <c r="A16" s="225" t="s">
        <v>24</v>
      </c>
      <c r="B16" s="226" t="s">
        <v>128</v>
      </c>
      <c r="C16" s="371">
        <f t="shared" si="3"/>
        <v>11293774</v>
      </c>
      <c r="D16" s="254">
        <f>346073+1060671+162578+81439+888119+333615+10924+85622</f>
        <v>2969041</v>
      </c>
      <c r="E16" s="255">
        <f>596029+568734+1553979+297828+2869785+1202556+815532+420290</f>
        <v>8324733</v>
      </c>
      <c r="F16" s="255">
        <f>32304+29500+93169+3200+271601+7919+9800</f>
        <v>447493</v>
      </c>
      <c r="G16" s="255">
        <f>1375</f>
        <v>1375</v>
      </c>
      <c r="H16" s="371">
        <f t="shared" si="4"/>
        <v>10844906</v>
      </c>
      <c r="I16" s="371">
        <f t="shared" si="5"/>
        <v>7940325</v>
      </c>
      <c r="J16" s="373">
        <f t="shared" si="6"/>
        <v>6977647</v>
      </c>
      <c r="K16" s="255">
        <f>432603+552058+1263058+270513+1944454+933147+814532+242562</f>
        <v>6452927</v>
      </c>
      <c r="L16" s="255">
        <f>87568+24146+13163+23564+20953+80+108642</f>
        <v>278116</v>
      </c>
      <c r="M16" s="255">
        <f>4434+7808+127775+106587</f>
        <v>246604</v>
      </c>
      <c r="N16" s="255">
        <f>106970+83639+82275+12757+288367+221900+7000+159770</f>
        <v>962678</v>
      </c>
      <c r="O16" s="255"/>
      <c r="P16" s="255"/>
      <c r="Q16" s="255">
        <f>277541+935628+264892+61425+1104754+156601+4924+93700</f>
        <v>2899465</v>
      </c>
      <c r="R16" s="255">
        <f>5116</f>
        <v>5116</v>
      </c>
      <c r="S16" s="255"/>
      <c r="T16" s="371">
        <f t="shared" si="7"/>
        <v>3867259</v>
      </c>
      <c r="U16" s="253">
        <f t="shared" si="2"/>
        <v>0.8787608819538243</v>
      </c>
      <c r="V16" s="4" t="s">
        <v>2</v>
      </c>
      <c r="W16" s="35"/>
    </row>
    <row r="17" spans="1:21" ht="15.75" customHeight="1">
      <c r="A17" s="225" t="s">
        <v>25</v>
      </c>
      <c r="B17" s="226" t="s">
        <v>129</v>
      </c>
      <c r="C17" s="371">
        <f t="shared" si="3"/>
        <v>25440</v>
      </c>
      <c r="D17" s="254">
        <f>9440</f>
        <v>9440</v>
      </c>
      <c r="E17" s="255">
        <f>700+1950+13350</f>
        <v>16000</v>
      </c>
      <c r="F17" s="255"/>
      <c r="G17" s="255"/>
      <c r="H17" s="371">
        <f t="shared" si="4"/>
        <v>25440</v>
      </c>
      <c r="I17" s="371">
        <f t="shared" si="5"/>
        <v>25440</v>
      </c>
      <c r="J17" s="373">
        <f t="shared" si="6"/>
        <v>15700</v>
      </c>
      <c r="K17" s="255">
        <f>700+1950+13050</f>
        <v>15700</v>
      </c>
      <c r="L17" s="255"/>
      <c r="M17" s="255"/>
      <c r="N17" s="255">
        <f>300+9440</f>
        <v>9740</v>
      </c>
      <c r="O17" s="255"/>
      <c r="P17" s="255"/>
      <c r="Q17" s="255"/>
      <c r="R17" s="255"/>
      <c r="S17" s="255"/>
      <c r="T17" s="371">
        <f t="shared" si="7"/>
        <v>9740</v>
      </c>
      <c r="U17" s="253">
        <f t="shared" si="2"/>
        <v>0.6171383647798742</v>
      </c>
    </row>
    <row r="18" spans="1:21" ht="15.75" customHeight="1">
      <c r="A18" s="225" t="s">
        <v>26</v>
      </c>
      <c r="B18" s="226" t="s">
        <v>32</v>
      </c>
      <c r="C18" s="371">
        <f t="shared" si="3"/>
        <v>1321346</v>
      </c>
      <c r="D18" s="254">
        <f>98604+30521+2764+8011+600</f>
        <v>140500</v>
      </c>
      <c r="E18" s="255">
        <f>355266+167325+294657+134070+1200+181017+13598+33713</f>
        <v>1180846</v>
      </c>
      <c r="F18" s="255">
        <f>100+850+300</f>
        <v>1250</v>
      </c>
      <c r="G18" s="255"/>
      <c r="H18" s="371">
        <f t="shared" si="4"/>
        <v>1320096</v>
      </c>
      <c r="I18" s="371">
        <f t="shared" si="5"/>
        <v>1304889</v>
      </c>
      <c r="J18" s="373">
        <f t="shared" si="6"/>
        <v>1190191</v>
      </c>
      <c r="K18" s="255">
        <f>353780+195286+279929+127620+1200+180867+13598+33713</f>
        <v>1185993</v>
      </c>
      <c r="L18" s="255">
        <f>1114</f>
        <v>1114</v>
      </c>
      <c r="M18" s="255">
        <f>3084</f>
        <v>3084</v>
      </c>
      <c r="N18" s="255">
        <f>99990+7258+6200+1250</f>
        <v>114698</v>
      </c>
      <c r="O18" s="255"/>
      <c r="P18" s="255"/>
      <c r="Q18" s="255">
        <f>2560+7470+3827+300</f>
        <v>14157</v>
      </c>
      <c r="R18" s="255">
        <f>1050</f>
        <v>1050</v>
      </c>
      <c r="S18" s="255"/>
      <c r="T18" s="371">
        <f t="shared" si="7"/>
        <v>129905</v>
      </c>
      <c r="U18" s="253">
        <f t="shared" si="2"/>
        <v>0.9121013358224339</v>
      </c>
    </row>
    <row r="19" spans="1:21" ht="15.75" customHeight="1">
      <c r="A19" s="225" t="s">
        <v>27</v>
      </c>
      <c r="B19" s="226" t="s">
        <v>34</v>
      </c>
      <c r="C19" s="371">
        <f t="shared" si="3"/>
        <v>600</v>
      </c>
      <c r="D19" s="254"/>
      <c r="E19" s="255">
        <f>600</f>
        <v>600</v>
      </c>
      <c r="F19" s="255"/>
      <c r="G19" s="255"/>
      <c r="H19" s="371">
        <f t="shared" si="4"/>
        <v>600</v>
      </c>
      <c r="I19" s="371">
        <f t="shared" si="5"/>
        <v>600</v>
      </c>
      <c r="J19" s="373">
        <f t="shared" si="6"/>
        <v>600</v>
      </c>
      <c r="K19" s="255">
        <f>600</f>
        <v>600</v>
      </c>
      <c r="L19" s="255"/>
      <c r="M19" s="255"/>
      <c r="N19" s="255"/>
      <c r="O19" s="255"/>
      <c r="P19" s="255"/>
      <c r="Q19" s="255"/>
      <c r="R19" s="255"/>
      <c r="S19" s="255"/>
      <c r="T19" s="371">
        <f t="shared" si="7"/>
        <v>0</v>
      </c>
      <c r="U19" s="253">
        <f t="shared" si="2"/>
        <v>1</v>
      </c>
    </row>
    <row r="20" spans="1:21" ht="15.75" customHeight="1">
      <c r="A20" s="225" t="s">
        <v>29</v>
      </c>
      <c r="B20" s="226" t="s">
        <v>35</v>
      </c>
      <c r="C20" s="371">
        <f t="shared" si="3"/>
        <v>0</v>
      </c>
      <c r="D20" s="254"/>
      <c r="E20" s="255"/>
      <c r="F20" s="255"/>
      <c r="G20" s="255"/>
      <c r="H20" s="371">
        <f t="shared" si="4"/>
        <v>0</v>
      </c>
      <c r="I20" s="371">
        <f t="shared" si="5"/>
        <v>0</v>
      </c>
      <c r="J20" s="373">
        <f t="shared" si="6"/>
        <v>0</v>
      </c>
      <c r="K20" s="255"/>
      <c r="L20" s="255"/>
      <c r="M20" s="255"/>
      <c r="N20" s="255"/>
      <c r="O20" s="255"/>
      <c r="P20" s="255"/>
      <c r="Q20" s="255"/>
      <c r="R20" s="255"/>
      <c r="S20" s="255"/>
      <c r="T20" s="371">
        <f t="shared" si="7"/>
        <v>0</v>
      </c>
      <c r="U20" s="253">
        <f t="shared" si="2"/>
      </c>
    </row>
    <row r="21" spans="1:21" ht="15.75" customHeight="1">
      <c r="A21" s="225" t="s">
        <v>30</v>
      </c>
      <c r="B21" s="226" t="s">
        <v>143</v>
      </c>
      <c r="C21" s="371">
        <f t="shared" si="3"/>
        <v>0</v>
      </c>
      <c r="D21" s="254"/>
      <c r="E21" s="255"/>
      <c r="F21" s="255"/>
      <c r="G21" s="255"/>
      <c r="H21" s="371">
        <f t="shared" si="4"/>
        <v>0</v>
      </c>
      <c r="I21" s="371">
        <f t="shared" si="5"/>
        <v>0</v>
      </c>
      <c r="J21" s="373">
        <f t="shared" si="6"/>
        <v>0</v>
      </c>
      <c r="K21" s="255"/>
      <c r="L21" s="255"/>
      <c r="M21" s="255"/>
      <c r="N21" s="255"/>
      <c r="O21" s="255"/>
      <c r="P21" s="255"/>
      <c r="Q21" s="255"/>
      <c r="R21" s="255"/>
      <c r="S21" s="255"/>
      <c r="T21" s="371">
        <f t="shared" si="7"/>
        <v>0</v>
      </c>
      <c r="U21" s="253">
        <f t="shared" si="2"/>
      </c>
    </row>
    <row r="22" spans="1:21" ht="15.75" customHeight="1">
      <c r="A22" s="225" t="s">
        <v>104</v>
      </c>
      <c r="B22" s="226" t="s">
        <v>142</v>
      </c>
      <c r="C22" s="371">
        <f t="shared" si="3"/>
        <v>0</v>
      </c>
      <c r="D22" s="254"/>
      <c r="E22" s="255"/>
      <c r="F22" s="255"/>
      <c r="G22" s="255"/>
      <c r="H22" s="371">
        <f t="shared" si="4"/>
        <v>0</v>
      </c>
      <c r="I22" s="371">
        <f t="shared" si="5"/>
        <v>0</v>
      </c>
      <c r="J22" s="373">
        <f t="shared" si="6"/>
        <v>0</v>
      </c>
      <c r="K22" s="255"/>
      <c r="L22" s="255"/>
      <c r="M22" s="255"/>
      <c r="N22" s="255"/>
      <c r="O22" s="255"/>
      <c r="P22" s="255"/>
      <c r="Q22" s="255"/>
      <c r="R22" s="255"/>
      <c r="S22" s="255"/>
      <c r="T22" s="371">
        <f t="shared" si="7"/>
        <v>0</v>
      </c>
      <c r="U22" s="253">
        <f t="shared" si="2"/>
      </c>
    </row>
    <row r="23" spans="1:21" ht="15.75" customHeight="1">
      <c r="A23" s="225" t="s">
        <v>101</v>
      </c>
      <c r="B23" s="226" t="s">
        <v>102</v>
      </c>
      <c r="C23" s="371">
        <f t="shared" si="3"/>
        <v>580491</v>
      </c>
      <c r="D23" s="254">
        <f>300</f>
        <v>300</v>
      </c>
      <c r="E23" s="255">
        <f>580191</f>
        <v>580191</v>
      </c>
      <c r="F23" s="255"/>
      <c r="G23" s="255"/>
      <c r="H23" s="371">
        <f t="shared" si="4"/>
        <v>580491</v>
      </c>
      <c r="I23" s="371">
        <f t="shared" si="5"/>
        <v>580491</v>
      </c>
      <c r="J23" s="373">
        <f t="shared" si="6"/>
        <v>580491</v>
      </c>
      <c r="K23" s="255">
        <f>300+580191</f>
        <v>580491</v>
      </c>
      <c r="L23" s="255"/>
      <c r="M23" s="255"/>
      <c r="N23" s="255"/>
      <c r="O23" s="255"/>
      <c r="P23" s="255"/>
      <c r="Q23" s="255"/>
      <c r="R23" s="255"/>
      <c r="S23" s="255"/>
      <c r="T23" s="371">
        <f t="shared" si="7"/>
        <v>0</v>
      </c>
      <c r="U23" s="253">
        <f t="shared" si="2"/>
        <v>1</v>
      </c>
    </row>
    <row r="24" spans="1:21" ht="15.75" customHeight="1">
      <c r="A24" s="223" t="s">
        <v>1</v>
      </c>
      <c r="B24" s="224" t="s">
        <v>90</v>
      </c>
      <c r="C24" s="372">
        <f>SUM(C25:C37)</f>
        <v>174874913</v>
      </c>
      <c r="D24" s="372">
        <f aca="true" t="shared" si="8" ref="D24:T24">SUM(D25:D37)</f>
        <v>67010211</v>
      </c>
      <c r="E24" s="372">
        <f t="shared" si="8"/>
        <v>107864702</v>
      </c>
      <c r="F24" s="372">
        <f t="shared" si="8"/>
        <v>4840883</v>
      </c>
      <c r="G24" s="372">
        <f t="shared" si="8"/>
        <v>0</v>
      </c>
      <c r="H24" s="372">
        <f t="shared" si="8"/>
        <v>170034030</v>
      </c>
      <c r="I24" s="372">
        <f t="shared" si="8"/>
        <v>85309353</v>
      </c>
      <c r="J24" s="374">
        <f t="shared" si="8"/>
        <v>44720737</v>
      </c>
      <c r="K24" s="372">
        <f t="shared" si="8"/>
        <v>34922938</v>
      </c>
      <c r="L24" s="372">
        <f t="shared" si="8"/>
        <v>9797799</v>
      </c>
      <c r="M24" s="372">
        <f t="shared" si="8"/>
        <v>0</v>
      </c>
      <c r="N24" s="372">
        <f t="shared" si="8"/>
        <v>40413927</v>
      </c>
      <c r="O24" s="372">
        <f t="shared" si="8"/>
        <v>174689</v>
      </c>
      <c r="P24" s="372">
        <f t="shared" si="8"/>
        <v>0</v>
      </c>
      <c r="Q24" s="372">
        <f t="shared" si="8"/>
        <v>69462476</v>
      </c>
      <c r="R24" s="372">
        <f t="shared" si="8"/>
        <v>14441239</v>
      </c>
      <c r="S24" s="372">
        <f t="shared" si="8"/>
        <v>820962</v>
      </c>
      <c r="T24" s="372">
        <f t="shared" si="8"/>
        <v>125313293</v>
      </c>
      <c r="U24" s="253">
        <f t="shared" si="2"/>
        <v>0.5242184523424999</v>
      </c>
    </row>
    <row r="25" spans="1:21" ht="15.75" customHeight="1">
      <c r="A25" s="48" t="s">
        <v>13</v>
      </c>
      <c r="B25" s="49" t="s">
        <v>31</v>
      </c>
      <c r="C25" s="371">
        <f t="shared" si="3"/>
        <v>86306834</v>
      </c>
      <c r="D25" s="254">
        <f>12849365+9498903+4780385+1342376+3362288+9110319+1230436+672297</f>
        <v>42846369</v>
      </c>
      <c r="E25" s="255">
        <f>19784610+2507243+6833976+873903+1452782+11223048+360193+424710</f>
        <v>43460465</v>
      </c>
      <c r="F25" s="255">
        <f>1524092+240000+70000</f>
        <v>1834092</v>
      </c>
      <c r="G25" s="255"/>
      <c r="H25" s="371">
        <f>I25+Q25+R25+S25</f>
        <v>84472742</v>
      </c>
      <c r="I25" s="371">
        <f t="shared" si="5"/>
        <v>50536446</v>
      </c>
      <c r="J25" s="373">
        <f>K25+L25+M25</f>
        <v>21535363</v>
      </c>
      <c r="K25" s="255">
        <f>4604589+2052844+2810829+312603+205282+5046815+315479+124249</f>
        <v>15472690</v>
      </c>
      <c r="L25" s="255">
        <f>3471116+757183+997550+74157+753114+9553</f>
        <v>6062673</v>
      </c>
      <c r="M25" s="255"/>
      <c r="N25" s="255">
        <f>12163520+2547637+5333819+549874+7182900+746773+380560</f>
        <v>28905083</v>
      </c>
      <c r="O25" s="255">
        <f>40000+10000+46000</f>
        <v>96000</v>
      </c>
      <c r="P25" s="255"/>
      <c r="Q25" s="255">
        <f>5777171+5863176+2472163+269691+1850475+5724619+518824+522198</f>
        <v>22998317</v>
      </c>
      <c r="R25" s="255">
        <f>4232525+775306+723954+2759313+1625919</f>
        <v>10117017</v>
      </c>
      <c r="S25" s="255">
        <f>820962</f>
        <v>820962</v>
      </c>
      <c r="T25" s="371">
        <f>SUM(N25:S25)</f>
        <v>62937379</v>
      </c>
      <c r="U25" s="253">
        <f t="shared" si="2"/>
        <v>0.426135288579652</v>
      </c>
    </row>
    <row r="26" spans="1:21" ht="15.75" customHeight="1">
      <c r="A26" s="48" t="s">
        <v>14</v>
      </c>
      <c r="B26" s="183" t="s">
        <v>33</v>
      </c>
      <c r="C26" s="371">
        <f t="shared" si="3"/>
        <v>9548635</v>
      </c>
      <c r="D26" s="254">
        <f>2982351+701789+269411</f>
        <v>3953551</v>
      </c>
      <c r="E26" s="255">
        <f>3977600+366409+712248+538827</f>
        <v>5595084</v>
      </c>
      <c r="F26" s="255">
        <f>201789</f>
        <v>201789</v>
      </c>
      <c r="G26" s="255"/>
      <c r="H26" s="371">
        <f aca="true" t="shared" si="9" ref="H26:H37">I26+Q26+R26+S26</f>
        <v>9346846</v>
      </c>
      <c r="I26" s="371">
        <f t="shared" si="5"/>
        <v>7235479</v>
      </c>
      <c r="J26" s="373">
        <f aca="true" t="shared" si="10" ref="J26:J37">K26+L26+M26</f>
        <v>5414198</v>
      </c>
      <c r="K26" s="255">
        <f>3986210+550000</f>
        <v>4536210</v>
      </c>
      <c r="L26" s="255">
        <f>631579+246409</f>
        <v>877988</v>
      </c>
      <c r="M26" s="255"/>
      <c r="N26" s="255">
        <f>943043+70000+808238</f>
        <v>1821281</v>
      </c>
      <c r="O26" s="255"/>
      <c r="P26" s="255"/>
      <c r="Q26" s="255">
        <f>1399119+712248</f>
        <v>2111367</v>
      </c>
      <c r="R26" s="255"/>
      <c r="S26" s="255"/>
      <c r="T26" s="371">
        <f aca="true" t="shared" si="11" ref="T26:T37">SUM(N26:S26)</f>
        <v>3932648</v>
      </c>
      <c r="U26" s="253">
        <f t="shared" si="2"/>
        <v>0.7482846678153582</v>
      </c>
    </row>
    <row r="27" spans="1:21" ht="15.75" customHeight="1">
      <c r="A27" s="48" t="s">
        <v>19</v>
      </c>
      <c r="B27" s="184" t="s">
        <v>141</v>
      </c>
      <c r="C27" s="371">
        <f t="shared" si="3"/>
        <v>32860419</v>
      </c>
      <c r="D27" s="254">
        <f>1874798+2991437+540085</f>
        <v>5406320</v>
      </c>
      <c r="E27" s="255">
        <f>4177380+2146707+321184+1078612+15326234+3838371+565611</f>
        <v>27454099</v>
      </c>
      <c r="F27" s="255">
        <f>345452+503068+1693655</f>
        <v>2542175</v>
      </c>
      <c r="G27" s="255"/>
      <c r="H27" s="371">
        <f t="shared" si="9"/>
        <v>30318244</v>
      </c>
      <c r="I27" s="371">
        <f t="shared" si="5"/>
        <v>19568373</v>
      </c>
      <c r="J27" s="373">
        <f t="shared" si="10"/>
        <v>11871207</v>
      </c>
      <c r="K27" s="255">
        <f>1197152+2134881+141584+6000000+567694+233501</f>
        <v>10274812</v>
      </c>
      <c r="L27" s="255">
        <f>1567295+29100</f>
        <v>1596395</v>
      </c>
      <c r="M27" s="255"/>
      <c r="N27" s="255">
        <f>1320654+2208579+355271+3413942+320031</f>
        <v>7618477</v>
      </c>
      <c r="O27" s="255">
        <f>78689</f>
        <v>78689</v>
      </c>
      <c r="P27" s="255"/>
      <c r="Q27" s="255">
        <f>1112805+321184+4885082+1227891+332110</f>
        <v>7879072</v>
      </c>
      <c r="R27" s="255">
        <f>2076115+794684</f>
        <v>2870799</v>
      </c>
      <c r="S27" s="255"/>
      <c r="T27" s="371">
        <f t="shared" si="11"/>
        <v>18447037</v>
      </c>
      <c r="U27" s="253">
        <f t="shared" si="2"/>
        <v>0.6066527350025472</v>
      </c>
    </row>
    <row r="28" spans="1:21" ht="15.75" customHeight="1">
      <c r="A28" s="48" t="s">
        <v>22</v>
      </c>
      <c r="B28" s="49" t="s">
        <v>145</v>
      </c>
      <c r="C28" s="371">
        <f t="shared" si="3"/>
        <v>0</v>
      </c>
      <c r="D28" s="254"/>
      <c r="E28" s="255"/>
      <c r="F28" s="255"/>
      <c r="G28" s="255"/>
      <c r="H28" s="371">
        <f t="shared" si="9"/>
        <v>0</v>
      </c>
      <c r="I28" s="371">
        <f t="shared" si="5"/>
        <v>0</v>
      </c>
      <c r="J28" s="373">
        <f t="shared" si="10"/>
        <v>0</v>
      </c>
      <c r="K28" s="255"/>
      <c r="L28" s="255"/>
      <c r="M28" s="255"/>
      <c r="N28" s="255"/>
      <c r="O28" s="255"/>
      <c r="P28" s="255"/>
      <c r="Q28" s="255"/>
      <c r="R28" s="255"/>
      <c r="S28" s="255"/>
      <c r="T28" s="371">
        <f t="shared" si="11"/>
        <v>0</v>
      </c>
      <c r="U28" s="253">
        <f t="shared" si="2"/>
      </c>
    </row>
    <row r="29" spans="1:21" ht="19.5" customHeight="1">
      <c r="A29" s="48" t="s">
        <v>23</v>
      </c>
      <c r="B29" s="52" t="s">
        <v>144</v>
      </c>
      <c r="C29" s="371">
        <f t="shared" si="3"/>
        <v>90013</v>
      </c>
      <c r="D29" s="254"/>
      <c r="E29" s="255">
        <f>90013</f>
        <v>90013</v>
      </c>
      <c r="F29" s="255"/>
      <c r="G29" s="255"/>
      <c r="H29" s="371">
        <f t="shared" si="9"/>
        <v>90013</v>
      </c>
      <c r="I29" s="371">
        <f t="shared" si="5"/>
        <v>90013</v>
      </c>
      <c r="J29" s="373">
        <f t="shared" si="10"/>
        <v>90013</v>
      </c>
      <c r="K29" s="255">
        <f>90013</f>
        <v>90013</v>
      </c>
      <c r="L29" s="255"/>
      <c r="M29" s="255"/>
      <c r="N29" s="255"/>
      <c r="O29" s="255"/>
      <c r="P29" s="255"/>
      <c r="Q29" s="255"/>
      <c r="R29" s="255"/>
      <c r="S29" s="255"/>
      <c r="T29" s="371">
        <f t="shared" si="11"/>
        <v>0</v>
      </c>
      <c r="U29" s="253">
        <f t="shared" si="2"/>
        <v>1</v>
      </c>
    </row>
    <row r="30" spans="1:21" ht="15.75" customHeight="1">
      <c r="A30" s="48" t="s">
        <v>24</v>
      </c>
      <c r="B30" s="49" t="s">
        <v>128</v>
      </c>
      <c r="C30" s="371">
        <f t="shared" si="3"/>
        <v>41811843</v>
      </c>
      <c r="D30" s="254">
        <f>1473943+59997+766215+314743+10192270+140839+609525+486983</f>
        <v>14044515</v>
      </c>
      <c r="E30" s="255">
        <f>1771199+236256+1040046+299341+23508603+461256+95452+355175</f>
        <v>27767328</v>
      </c>
      <c r="F30" s="255">
        <f>1971+40995+4658+58903</f>
        <v>106527</v>
      </c>
      <c r="G30" s="255"/>
      <c r="H30" s="371">
        <f t="shared" si="9"/>
        <v>41705316</v>
      </c>
      <c r="I30" s="371">
        <f t="shared" si="5"/>
        <v>4551059</v>
      </c>
      <c r="J30" s="373">
        <f t="shared" si="10"/>
        <v>2764795</v>
      </c>
      <c r="K30" s="255">
        <f>70895+40150+160235+76468+1663758+148853+92867+143832</f>
        <v>2397058</v>
      </c>
      <c r="L30" s="255">
        <f>850+17385+131+123109+15358+904+210000</f>
        <v>367737</v>
      </c>
      <c r="M30" s="255"/>
      <c r="N30" s="255">
        <f>10562+9281+18000+1143402+286909+318110</f>
        <v>1786264</v>
      </c>
      <c r="O30" s="255"/>
      <c r="P30" s="255"/>
      <c r="Q30" s="255">
        <f>3161714+245972+1610641+496490+29312524+92072+611206+170216</f>
        <v>35700835</v>
      </c>
      <c r="R30" s="255">
        <f>1453422</f>
        <v>1453422</v>
      </c>
      <c r="S30" s="255"/>
      <c r="T30" s="371">
        <f t="shared" si="11"/>
        <v>38940521</v>
      </c>
      <c r="U30" s="253">
        <f t="shared" si="2"/>
        <v>0.6075058574279085</v>
      </c>
    </row>
    <row r="31" spans="1:21" ht="15.75" customHeight="1">
      <c r="A31" s="48" t="s">
        <v>25</v>
      </c>
      <c r="B31" s="49" t="s">
        <v>129</v>
      </c>
      <c r="C31" s="371">
        <f t="shared" si="3"/>
        <v>0</v>
      </c>
      <c r="D31" s="254"/>
      <c r="E31" s="255"/>
      <c r="F31" s="255"/>
      <c r="G31" s="255"/>
      <c r="H31" s="371">
        <f t="shared" si="9"/>
        <v>0</v>
      </c>
      <c r="I31" s="371">
        <f t="shared" si="5"/>
        <v>0</v>
      </c>
      <c r="J31" s="373">
        <f t="shared" si="10"/>
        <v>0</v>
      </c>
      <c r="K31" s="255"/>
      <c r="L31" s="255"/>
      <c r="M31" s="255"/>
      <c r="N31" s="255"/>
      <c r="O31" s="255"/>
      <c r="P31" s="255"/>
      <c r="Q31" s="255"/>
      <c r="R31" s="255"/>
      <c r="S31" s="255"/>
      <c r="T31" s="371">
        <f t="shared" si="11"/>
        <v>0</v>
      </c>
      <c r="U31" s="253">
        <f t="shared" si="2"/>
      </c>
    </row>
    <row r="32" spans="1:21" ht="15.75" customHeight="1">
      <c r="A32" s="48" t="s">
        <v>26</v>
      </c>
      <c r="B32" s="49" t="s">
        <v>32</v>
      </c>
      <c r="C32" s="371">
        <f t="shared" si="3"/>
        <v>4257169</v>
      </c>
      <c r="D32" s="254">
        <f>400003+125901+58951+61100+19001+42600+51900</f>
        <v>759456</v>
      </c>
      <c r="E32" s="255">
        <f>1196539+180903+974072+422310+230304+145121+348464</f>
        <v>3497713</v>
      </c>
      <c r="F32" s="255">
        <f>1000+48000+77300+16800+13200</f>
        <v>156300</v>
      </c>
      <c r="G32" s="255"/>
      <c r="H32" s="371">
        <f t="shared" si="9"/>
        <v>4100869</v>
      </c>
      <c r="I32" s="371">
        <f t="shared" si="5"/>
        <v>3327983</v>
      </c>
      <c r="J32" s="373">
        <f t="shared" si="10"/>
        <v>3045161</v>
      </c>
      <c r="K32" s="255">
        <f>1001445+109303+340550+278771+132301+26521+263264</f>
        <v>2152155</v>
      </c>
      <c r="L32" s="255">
        <f>315593+50000+492113+35300</f>
        <v>893006</v>
      </c>
      <c r="M32" s="255"/>
      <c r="N32" s="255">
        <f>64004+19001+33801+11414+52002+8700+93900</f>
        <v>282822</v>
      </c>
      <c r="O32" s="255"/>
      <c r="P32" s="255"/>
      <c r="Q32" s="255">
        <f>214500+80500+166558+115925+65002+100400+30000</f>
        <v>772885</v>
      </c>
      <c r="R32" s="255">
        <f>1</f>
        <v>1</v>
      </c>
      <c r="S32" s="255"/>
      <c r="T32" s="371">
        <f t="shared" si="11"/>
        <v>1055708</v>
      </c>
      <c r="U32" s="253">
        <f t="shared" si="2"/>
        <v>0.915016993776711</v>
      </c>
    </row>
    <row r="33" spans="1:21" ht="15.75" customHeight="1">
      <c r="A33" s="48" t="s">
        <v>27</v>
      </c>
      <c r="B33" s="49" t="s">
        <v>34</v>
      </c>
      <c r="C33" s="371">
        <f t="shared" si="3"/>
        <v>0</v>
      </c>
      <c r="D33" s="254"/>
      <c r="E33" s="255"/>
      <c r="F33" s="255"/>
      <c r="G33" s="255"/>
      <c r="H33" s="371">
        <f t="shared" si="9"/>
        <v>0</v>
      </c>
      <c r="I33" s="371">
        <f t="shared" si="5"/>
        <v>0</v>
      </c>
      <c r="J33" s="373">
        <f t="shared" si="10"/>
        <v>0</v>
      </c>
      <c r="K33" s="255"/>
      <c r="L33" s="255"/>
      <c r="M33" s="255"/>
      <c r="N33" s="255"/>
      <c r="O33" s="255"/>
      <c r="P33" s="255"/>
      <c r="Q33" s="255"/>
      <c r="R33" s="255"/>
      <c r="S33" s="255"/>
      <c r="T33" s="371">
        <f t="shared" si="11"/>
        <v>0</v>
      </c>
      <c r="U33" s="253">
        <f t="shared" si="2"/>
      </c>
    </row>
    <row r="34" spans="1:21" ht="15.75" customHeight="1">
      <c r="A34" s="48" t="s">
        <v>29</v>
      </c>
      <c r="B34" s="49" t="s">
        <v>35</v>
      </c>
      <c r="C34" s="371">
        <f t="shared" si="3"/>
        <v>0</v>
      </c>
      <c r="D34" s="254"/>
      <c r="E34" s="255"/>
      <c r="F34" s="255"/>
      <c r="G34" s="255"/>
      <c r="H34" s="371">
        <f t="shared" si="9"/>
        <v>0</v>
      </c>
      <c r="I34" s="371">
        <f t="shared" si="5"/>
        <v>0</v>
      </c>
      <c r="J34" s="373">
        <f t="shared" si="10"/>
        <v>0</v>
      </c>
      <c r="K34" s="255"/>
      <c r="L34" s="255"/>
      <c r="M34" s="255"/>
      <c r="N34" s="255"/>
      <c r="O34" s="255"/>
      <c r="P34" s="255"/>
      <c r="Q34" s="255"/>
      <c r="R34" s="255"/>
      <c r="S34" s="255"/>
      <c r="T34" s="371">
        <f t="shared" si="11"/>
        <v>0</v>
      </c>
      <c r="U34" s="253">
        <f t="shared" si="2"/>
      </c>
    </row>
    <row r="35" spans="1:21" ht="15.75" customHeight="1">
      <c r="A35" s="48" t="s">
        <v>30</v>
      </c>
      <c r="B35" s="49" t="s">
        <v>143</v>
      </c>
      <c r="C35" s="371">
        <f t="shared" si="3"/>
        <v>0</v>
      </c>
      <c r="D35" s="254"/>
      <c r="E35" s="255"/>
      <c r="F35" s="255"/>
      <c r="G35" s="255"/>
      <c r="H35" s="371">
        <f t="shared" si="9"/>
        <v>0</v>
      </c>
      <c r="I35" s="371">
        <f t="shared" si="5"/>
        <v>0</v>
      </c>
      <c r="J35" s="373">
        <f t="shared" si="10"/>
        <v>0</v>
      </c>
      <c r="K35" s="255"/>
      <c r="L35" s="255"/>
      <c r="M35" s="255"/>
      <c r="N35" s="255"/>
      <c r="O35" s="255"/>
      <c r="P35" s="255"/>
      <c r="Q35" s="255"/>
      <c r="R35" s="255"/>
      <c r="S35" s="255"/>
      <c r="T35" s="371">
        <f t="shared" si="11"/>
        <v>0</v>
      </c>
      <c r="U35" s="253">
        <f t="shared" si="2"/>
      </c>
    </row>
    <row r="36" spans="1:21" ht="15.75" customHeight="1">
      <c r="A36" s="48" t="s">
        <v>104</v>
      </c>
      <c r="B36" s="49" t="s">
        <v>142</v>
      </c>
      <c r="C36" s="371">
        <f t="shared" si="3"/>
        <v>0</v>
      </c>
      <c r="D36" s="254"/>
      <c r="E36" s="255"/>
      <c r="F36" s="255"/>
      <c r="G36" s="255"/>
      <c r="H36" s="371">
        <f t="shared" si="9"/>
        <v>0</v>
      </c>
      <c r="I36" s="371">
        <f t="shared" si="5"/>
        <v>0</v>
      </c>
      <c r="J36" s="373">
        <f t="shared" si="10"/>
        <v>0</v>
      </c>
      <c r="K36" s="255"/>
      <c r="L36" s="255"/>
      <c r="M36" s="255"/>
      <c r="N36" s="255"/>
      <c r="O36" s="255"/>
      <c r="P36" s="255"/>
      <c r="Q36" s="255"/>
      <c r="R36" s="255"/>
      <c r="S36" s="255"/>
      <c r="T36" s="371">
        <f t="shared" si="11"/>
        <v>0</v>
      </c>
      <c r="U36" s="253">
        <f t="shared" si="2"/>
      </c>
    </row>
    <row r="37" spans="1:21" ht="15.75" customHeight="1">
      <c r="A37" s="48" t="s">
        <v>101</v>
      </c>
      <c r="B37" s="49" t="s">
        <v>102</v>
      </c>
      <c r="C37" s="371">
        <f t="shared" si="3"/>
        <v>0</v>
      </c>
      <c r="D37" s="254"/>
      <c r="E37" s="255"/>
      <c r="F37" s="255"/>
      <c r="G37" s="255"/>
      <c r="H37" s="371">
        <f t="shared" si="9"/>
        <v>0</v>
      </c>
      <c r="I37" s="371">
        <f t="shared" si="5"/>
        <v>0</v>
      </c>
      <c r="J37" s="373">
        <f t="shared" si="10"/>
        <v>0</v>
      </c>
      <c r="K37" s="255"/>
      <c r="L37" s="255"/>
      <c r="M37" s="255"/>
      <c r="N37" s="255"/>
      <c r="O37" s="255"/>
      <c r="P37" s="255"/>
      <c r="Q37" s="255"/>
      <c r="R37" s="255"/>
      <c r="S37" s="255"/>
      <c r="T37" s="371">
        <f t="shared" si="11"/>
        <v>0</v>
      </c>
      <c r="U37" s="253">
        <f t="shared" si="2"/>
      </c>
    </row>
    <row r="38" spans="1:21" s="5" customFormat="1" ht="20.25" customHeight="1">
      <c r="A38" s="519" t="str">
        <f>TT!C7</f>
        <v>Tuyên Quang, ngày 4 tháng 5 năm 2022</v>
      </c>
      <c r="B38" s="520"/>
      <c r="C38" s="520"/>
      <c r="D38" s="520"/>
      <c r="E38" s="520"/>
      <c r="F38" s="245"/>
      <c r="G38" s="245"/>
      <c r="H38" s="245"/>
      <c r="I38" s="246"/>
      <c r="J38" s="246"/>
      <c r="K38" s="246"/>
      <c r="L38" s="246"/>
      <c r="M38" s="246"/>
      <c r="N38" s="521" t="str">
        <f>TT!C4</f>
        <v>Tuyên Quang, ngày 4 tháng 5 năm 2022</v>
      </c>
      <c r="O38" s="522"/>
      <c r="P38" s="522"/>
      <c r="Q38" s="522"/>
      <c r="R38" s="522"/>
      <c r="S38" s="522"/>
      <c r="T38" s="522"/>
      <c r="U38" s="522"/>
    </row>
    <row r="39" spans="1:21" ht="15.75" customHeight="1">
      <c r="A39" s="523" t="s">
        <v>290</v>
      </c>
      <c r="B39" s="524"/>
      <c r="C39" s="524"/>
      <c r="D39" s="524"/>
      <c r="E39" s="524"/>
      <c r="F39" s="247"/>
      <c r="G39" s="247"/>
      <c r="H39" s="247"/>
      <c r="I39" s="182"/>
      <c r="J39" s="182"/>
      <c r="K39" s="182"/>
      <c r="L39" s="182"/>
      <c r="M39" s="182"/>
      <c r="N39" s="525" t="str">
        <f>TT!C5</f>
        <v>CỤC TRƯỞNG</v>
      </c>
      <c r="O39" s="525"/>
      <c r="P39" s="525"/>
      <c r="Q39" s="525"/>
      <c r="R39" s="525"/>
      <c r="S39" s="525"/>
      <c r="T39" s="525"/>
      <c r="U39" s="525"/>
    </row>
    <row r="40" spans="1:21" ht="80.25" customHeight="1">
      <c r="A40" s="248"/>
      <c r="B40" s="248"/>
      <c r="C40" s="248"/>
      <c r="D40" s="248"/>
      <c r="E40" s="248"/>
      <c r="F40" s="176"/>
      <c r="G40" s="176"/>
      <c r="H40" s="176"/>
      <c r="I40" s="182"/>
      <c r="J40" s="182"/>
      <c r="K40" s="182"/>
      <c r="L40" s="182"/>
      <c r="M40" s="182"/>
      <c r="N40" s="182"/>
      <c r="O40" s="182"/>
      <c r="P40" s="176"/>
      <c r="Q40" s="249"/>
      <c r="R40" s="176"/>
      <c r="S40" s="182"/>
      <c r="T40" s="178"/>
      <c r="U40" s="178"/>
    </row>
    <row r="41" spans="1:21" ht="15.75" customHeight="1">
      <c r="A41" s="526" t="str">
        <f>TT!C6</f>
        <v>Hà Thị Mai</v>
      </c>
      <c r="B41" s="526"/>
      <c r="C41" s="526"/>
      <c r="D41" s="526"/>
      <c r="E41" s="526"/>
      <c r="F41" s="250" t="s">
        <v>2</v>
      </c>
      <c r="G41" s="250"/>
      <c r="H41" s="250"/>
      <c r="I41" s="250"/>
      <c r="J41" s="250"/>
      <c r="K41" s="250"/>
      <c r="L41" s="250"/>
      <c r="M41" s="250"/>
      <c r="N41" s="527" t="str">
        <f>TT!C3</f>
        <v>Nguyễn Tuyên</v>
      </c>
      <c r="O41" s="527"/>
      <c r="P41" s="527"/>
      <c r="Q41" s="527"/>
      <c r="R41" s="527"/>
      <c r="S41" s="527"/>
      <c r="T41" s="527"/>
      <c r="U41" s="527"/>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4">
    <mergeCell ref="A38:E38"/>
    <mergeCell ref="N38:U38"/>
    <mergeCell ref="A39:E39"/>
    <mergeCell ref="N39:U39"/>
    <mergeCell ref="A41:E41"/>
    <mergeCell ref="N41:U41"/>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S4:S7"/>
    <mergeCell ref="J5:J7"/>
    <mergeCell ref="K5:M6"/>
    <mergeCell ref="N5:N7"/>
    <mergeCell ref="O5:O7"/>
    <mergeCell ref="P5:P7"/>
    <mergeCell ref="A8:B8"/>
    <mergeCell ref="A9:B9"/>
    <mergeCell ref="H3:H7"/>
    <mergeCell ref="C3:C7"/>
    <mergeCell ref="J4:P4"/>
    <mergeCell ref="A3:A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510" t="s">
        <v>151</v>
      </c>
      <c r="B1" s="510"/>
      <c r="C1" s="510"/>
      <c r="D1" s="510"/>
      <c r="E1" s="528" t="s">
        <v>121</v>
      </c>
      <c r="F1" s="528"/>
      <c r="G1" s="528"/>
      <c r="H1" s="528"/>
      <c r="I1" s="528"/>
      <c r="J1" s="528"/>
      <c r="K1" s="528"/>
      <c r="L1" s="528"/>
      <c r="M1" s="528"/>
      <c r="N1" s="528"/>
      <c r="O1" s="528"/>
      <c r="P1" s="528"/>
      <c r="Q1" s="532" t="s">
        <v>150</v>
      </c>
      <c r="R1" s="533"/>
      <c r="S1" s="533"/>
      <c r="T1" s="533"/>
      <c r="U1" s="533"/>
      <c r="V1" s="533"/>
    </row>
    <row r="2" spans="1:22" ht="15.75" customHeight="1">
      <c r="A2" s="25"/>
      <c r="B2" s="27"/>
      <c r="C2" s="27"/>
      <c r="D2" s="27"/>
      <c r="E2" s="6"/>
      <c r="F2" s="6"/>
      <c r="G2" s="6"/>
      <c r="H2" s="37"/>
      <c r="I2" s="39">
        <f>COUNTBLANK(E9:V37)</f>
        <v>522</v>
      </c>
      <c r="J2" s="39">
        <f>COUNTA(E9:V37)</f>
        <v>0</v>
      </c>
      <c r="K2" s="39">
        <f>I2+J2</f>
        <v>522</v>
      </c>
      <c r="L2" s="41"/>
      <c r="M2" s="26"/>
      <c r="N2" s="26"/>
      <c r="O2" s="26"/>
      <c r="P2" s="26"/>
      <c r="Q2" s="547" t="s">
        <v>122</v>
      </c>
      <c r="R2" s="547"/>
      <c r="S2" s="547"/>
      <c r="T2" s="547"/>
      <c r="U2" s="547"/>
      <c r="V2" s="547"/>
    </row>
    <row r="3" spans="1:22" s="11" customFormat="1" ht="15.75" customHeight="1">
      <c r="A3" s="555" t="s">
        <v>21</v>
      </c>
      <c r="B3" s="556"/>
      <c r="C3" s="561" t="s">
        <v>132</v>
      </c>
      <c r="D3" s="529" t="s">
        <v>134</v>
      </c>
      <c r="E3" s="534" t="s">
        <v>4</v>
      </c>
      <c r="F3" s="535"/>
      <c r="G3" s="538" t="s">
        <v>36</v>
      </c>
      <c r="H3" s="548" t="s">
        <v>82</v>
      </c>
      <c r="I3" s="544" t="s">
        <v>37</v>
      </c>
      <c r="J3" s="545"/>
      <c r="K3" s="545"/>
      <c r="L3" s="545"/>
      <c r="M3" s="545"/>
      <c r="N3" s="545"/>
      <c r="O3" s="545"/>
      <c r="P3" s="545"/>
      <c r="Q3" s="545"/>
      <c r="R3" s="545"/>
      <c r="S3" s="545"/>
      <c r="T3" s="546"/>
      <c r="U3" s="538" t="s">
        <v>103</v>
      </c>
      <c r="V3" s="537" t="s">
        <v>108</v>
      </c>
    </row>
    <row r="4" spans="1:22" s="12" customFormat="1" ht="15.75" customHeight="1">
      <c r="A4" s="557"/>
      <c r="B4" s="558"/>
      <c r="C4" s="562"/>
      <c r="D4" s="530"/>
      <c r="E4" s="529" t="s">
        <v>137</v>
      </c>
      <c r="F4" s="529" t="s">
        <v>62</v>
      </c>
      <c r="G4" s="539"/>
      <c r="H4" s="549"/>
      <c r="I4" s="541" t="s">
        <v>37</v>
      </c>
      <c r="J4" s="534" t="s">
        <v>38</v>
      </c>
      <c r="K4" s="536"/>
      <c r="L4" s="536"/>
      <c r="M4" s="536"/>
      <c r="N4" s="536"/>
      <c r="O4" s="536"/>
      <c r="P4" s="536"/>
      <c r="Q4" s="535"/>
      <c r="R4" s="548" t="s">
        <v>139</v>
      </c>
      <c r="S4" s="541" t="s">
        <v>148</v>
      </c>
      <c r="T4" s="548" t="s">
        <v>81</v>
      </c>
      <c r="U4" s="539"/>
      <c r="V4" s="537"/>
    </row>
    <row r="5" spans="1:22" s="11" customFormat="1" ht="15.75" customHeight="1">
      <c r="A5" s="557"/>
      <c r="B5" s="558"/>
      <c r="C5" s="562"/>
      <c r="D5" s="530"/>
      <c r="E5" s="530"/>
      <c r="F5" s="530"/>
      <c r="G5" s="539"/>
      <c r="H5" s="549"/>
      <c r="I5" s="543"/>
      <c r="J5" s="541" t="s">
        <v>61</v>
      </c>
      <c r="K5" s="534" t="s">
        <v>75</v>
      </c>
      <c r="L5" s="536"/>
      <c r="M5" s="536"/>
      <c r="N5" s="536"/>
      <c r="O5" s="536"/>
      <c r="P5" s="536"/>
      <c r="Q5" s="535"/>
      <c r="R5" s="549"/>
      <c r="S5" s="543"/>
      <c r="T5" s="549"/>
      <c r="U5" s="539"/>
      <c r="V5" s="537"/>
    </row>
    <row r="6" spans="1:22" s="11" customFormat="1" ht="15.75" customHeight="1">
      <c r="A6" s="557"/>
      <c r="B6" s="558"/>
      <c r="C6" s="562"/>
      <c r="D6" s="530"/>
      <c r="E6" s="530"/>
      <c r="F6" s="530"/>
      <c r="G6" s="539"/>
      <c r="H6" s="549"/>
      <c r="I6" s="543"/>
      <c r="J6" s="543"/>
      <c r="K6" s="541" t="s">
        <v>96</v>
      </c>
      <c r="L6" s="534" t="s">
        <v>75</v>
      </c>
      <c r="M6" s="536"/>
      <c r="N6" s="535"/>
      <c r="O6" s="541" t="s">
        <v>42</v>
      </c>
      <c r="P6" s="541" t="s">
        <v>147</v>
      </c>
      <c r="Q6" s="541" t="s">
        <v>46</v>
      </c>
      <c r="R6" s="549"/>
      <c r="S6" s="543"/>
      <c r="T6" s="549"/>
      <c r="U6" s="539"/>
      <c r="V6" s="537"/>
    </row>
    <row r="7" spans="1:22" s="11" customFormat="1" ht="44.25" customHeight="1">
      <c r="A7" s="559"/>
      <c r="B7" s="560"/>
      <c r="C7" s="563"/>
      <c r="D7" s="531"/>
      <c r="E7" s="531"/>
      <c r="F7" s="531"/>
      <c r="G7" s="540"/>
      <c r="H7" s="550"/>
      <c r="I7" s="542"/>
      <c r="J7" s="542"/>
      <c r="K7" s="542"/>
      <c r="L7" s="44" t="s">
        <v>39</v>
      </c>
      <c r="M7" s="44" t="s">
        <v>40</v>
      </c>
      <c r="N7" s="44" t="s">
        <v>53</v>
      </c>
      <c r="O7" s="542"/>
      <c r="P7" s="542"/>
      <c r="Q7" s="542"/>
      <c r="R7" s="550"/>
      <c r="S7" s="542"/>
      <c r="T7" s="550"/>
      <c r="U7" s="540"/>
      <c r="V7" s="537"/>
    </row>
    <row r="8" spans="1:22" ht="14.25" customHeight="1">
      <c r="A8" s="534" t="s">
        <v>3</v>
      </c>
      <c r="B8" s="535"/>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534" t="s">
        <v>10</v>
      </c>
      <c r="B9" s="535"/>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551" t="s">
        <v>119</v>
      </c>
      <c r="B38" s="551"/>
      <c r="C38" s="551"/>
      <c r="D38" s="551"/>
      <c r="E38" s="551"/>
      <c r="F38" s="551"/>
      <c r="G38" s="551"/>
      <c r="H38" s="551"/>
      <c r="I38" s="7"/>
      <c r="J38" s="7"/>
      <c r="K38" s="7"/>
      <c r="L38" s="7"/>
      <c r="M38" s="7"/>
      <c r="O38" s="553" t="s">
        <v>127</v>
      </c>
      <c r="P38" s="553"/>
      <c r="Q38" s="553"/>
      <c r="R38" s="553"/>
      <c r="S38" s="553"/>
      <c r="T38" s="553"/>
      <c r="U38" s="553"/>
      <c r="V38" s="553"/>
    </row>
    <row r="39" spans="1:22" ht="15.75">
      <c r="A39" s="552"/>
      <c r="B39" s="552"/>
      <c r="C39" s="552"/>
      <c r="D39" s="552"/>
      <c r="E39" s="552"/>
      <c r="F39" s="552"/>
      <c r="G39" s="552"/>
      <c r="H39" s="552"/>
      <c r="O39" s="554"/>
      <c r="P39" s="554"/>
      <c r="Q39" s="554"/>
      <c r="R39" s="554"/>
      <c r="S39" s="554"/>
      <c r="T39" s="554"/>
      <c r="U39" s="554"/>
      <c r="V39" s="554"/>
    </row>
  </sheetData>
  <sheetProtection/>
  <mergeCells count="31">
    <mergeCell ref="A38:H39"/>
    <mergeCell ref="O38:V39"/>
    <mergeCell ref="U3:U7"/>
    <mergeCell ref="J5:J7"/>
    <mergeCell ref="F4:F7"/>
    <mergeCell ref="A9:B9"/>
    <mergeCell ref="P6:P7"/>
    <mergeCell ref="T4:T7"/>
    <mergeCell ref="O6:O7"/>
    <mergeCell ref="S4:S7"/>
    <mergeCell ref="R4:R7"/>
    <mergeCell ref="A3:B7"/>
    <mergeCell ref="K6:K7"/>
    <mergeCell ref="A8:B8"/>
    <mergeCell ref="C3:C7"/>
    <mergeCell ref="E1:P1"/>
    <mergeCell ref="A1:D1"/>
    <mergeCell ref="D3:D7"/>
    <mergeCell ref="Q1:V1"/>
    <mergeCell ref="E3:F3"/>
    <mergeCell ref="J4:Q4"/>
    <mergeCell ref="E4:E7"/>
    <mergeCell ref="V3:V7"/>
    <mergeCell ref="G3:G7"/>
    <mergeCell ref="Q6:Q7"/>
    <mergeCell ref="I4:I7"/>
    <mergeCell ref="I3:T3"/>
    <mergeCell ref="L6:N6"/>
    <mergeCell ref="K5:Q5"/>
    <mergeCell ref="Q2:V2"/>
    <mergeCell ref="H3:H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25">
      <selection activeCell="E40" sqref="E40"/>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564" t="s">
        <v>100</v>
      </c>
      <c r="B1" s="565"/>
      <c r="C1" s="565"/>
      <c r="D1" s="565"/>
    </row>
    <row r="2" spans="1:4" s="10" customFormat="1" ht="39.75" customHeight="1">
      <c r="A2" s="566" t="s">
        <v>20</v>
      </c>
      <c r="B2" s="567"/>
      <c r="C2" s="228" t="s">
        <v>88</v>
      </c>
      <c r="D2" s="228" t="s">
        <v>91</v>
      </c>
    </row>
    <row r="3" spans="1:4" ht="21" customHeight="1">
      <c r="A3" s="21" t="s">
        <v>13</v>
      </c>
      <c r="B3" s="22" t="s">
        <v>87</v>
      </c>
      <c r="C3" s="243">
        <f>SUM(C4:C11)-C6-C10</f>
        <v>302610</v>
      </c>
      <c r="D3" s="241">
        <f>SUM(D4:D11)-D9</f>
        <v>9797799</v>
      </c>
    </row>
    <row r="4" spans="1:4" s="2" customFormat="1" ht="21" customHeight="1">
      <c r="A4" s="20" t="s">
        <v>15</v>
      </c>
      <c r="B4" s="23" t="s">
        <v>317</v>
      </c>
      <c r="C4" s="241">
        <f>5400+75880+5446+11080+5852</f>
        <v>103658</v>
      </c>
      <c r="D4" s="241">
        <f>33745</f>
        <v>33745</v>
      </c>
    </row>
    <row r="5" spans="1:4" s="2" customFormat="1" ht="21" customHeight="1">
      <c r="A5" s="20" t="s">
        <v>16</v>
      </c>
      <c r="B5" s="23" t="s">
        <v>318</v>
      </c>
      <c r="C5" s="241"/>
      <c r="D5" s="241"/>
    </row>
    <row r="6" spans="1:4" s="2" customFormat="1" ht="21" customHeight="1">
      <c r="A6" s="20" t="s">
        <v>41</v>
      </c>
      <c r="B6" s="23" t="s">
        <v>319</v>
      </c>
      <c r="C6" s="242"/>
      <c r="D6" s="241">
        <f>74857+74288+210000+4418288+1054442+89364+2335767</f>
        <v>8257006</v>
      </c>
    </row>
    <row r="7" spans="1:4" s="16" customFormat="1" ht="21" customHeight="1">
      <c r="A7" s="20" t="s">
        <v>43</v>
      </c>
      <c r="B7" s="23" t="s">
        <v>320</v>
      </c>
      <c r="C7" s="241"/>
      <c r="D7" s="241">
        <f>1507048</f>
        <v>1507048</v>
      </c>
    </row>
    <row r="8" spans="1:4" s="2" customFormat="1" ht="21" customHeight="1">
      <c r="A8" s="20" t="s">
        <v>44</v>
      </c>
      <c r="B8" s="23" t="s">
        <v>321</v>
      </c>
      <c r="C8" s="241"/>
      <c r="D8" s="241"/>
    </row>
    <row r="9" spans="1:4" s="2" customFormat="1" ht="21" customHeight="1">
      <c r="A9" s="20" t="s">
        <v>77</v>
      </c>
      <c r="B9" s="23" t="s">
        <v>322</v>
      </c>
      <c r="C9" s="241">
        <f>20516+16720+280+25913+18700+9873+106950</f>
        <v>198952</v>
      </c>
      <c r="D9" s="242"/>
    </row>
    <row r="10" spans="1:4" s="2" customFormat="1" ht="21" customHeight="1">
      <c r="A10" s="20" t="s">
        <v>80</v>
      </c>
      <c r="B10" s="23" t="s">
        <v>323</v>
      </c>
      <c r="C10" s="242"/>
      <c r="D10" s="241"/>
    </row>
    <row r="11" spans="1:4" s="2" customFormat="1" ht="21" customHeight="1">
      <c r="A11" s="20" t="s">
        <v>83</v>
      </c>
      <c r="B11" s="23" t="s">
        <v>324</v>
      </c>
      <c r="C11" s="241"/>
      <c r="D11" s="241"/>
    </row>
    <row r="12" spans="1:4" s="16" customFormat="1" ht="21" customHeight="1">
      <c r="A12" s="21" t="s">
        <v>14</v>
      </c>
      <c r="B12" s="22" t="s">
        <v>46</v>
      </c>
      <c r="C12" s="243">
        <f>SUM(C13:C15)</f>
        <v>0</v>
      </c>
      <c r="D12" s="243">
        <f>SUM(D13:D15)</f>
        <v>0</v>
      </c>
    </row>
    <row r="13" spans="1:4" s="16" customFormat="1" ht="21" customHeight="1">
      <c r="A13" s="20" t="s">
        <v>17</v>
      </c>
      <c r="B13" s="24" t="s">
        <v>45</v>
      </c>
      <c r="C13" s="244"/>
      <c r="D13" s="241"/>
    </row>
    <row r="14" spans="1:4" s="16" customFormat="1" ht="21" customHeight="1">
      <c r="A14" s="20" t="s">
        <v>18</v>
      </c>
      <c r="B14" s="24" t="s">
        <v>86</v>
      </c>
      <c r="C14" s="244"/>
      <c r="D14" s="241"/>
    </row>
    <row r="15" spans="1:4" s="13" customFormat="1" ht="21" customHeight="1">
      <c r="A15" s="20" t="s">
        <v>111</v>
      </c>
      <c r="B15" s="23" t="s">
        <v>109</v>
      </c>
      <c r="C15" s="241"/>
      <c r="D15" s="241"/>
    </row>
    <row r="16" spans="1:4" s="14" customFormat="1" ht="21" customHeight="1">
      <c r="A16" s="21" t="s">
        <v>19</v>
      </c>
      <c r="B16" s="22" t="s">
        <v>84</v>
      </c>
      <c r="C16" s="243">
        <f>SUM(C17:C25)-C19-C24</f>
        <v>199865</v>
      </c>
      <c r="D16" s="241">
        <f>SUM(D17:D25)</f>
        <v>14615928</v>
      </c>
    </row>
    <row r="17" spans="1:4" s="14" customFormat="1" ht="21" customHeight="1">
      <c r="A17" s="20" t="s">
        <v>47</v>
      </c>
      <c r="B17" s="23" t="s">
        <v>66</v>
      </c>
      <c r="C17" s="241"/>
      <c r="D17" s="241"/>
    </row>
    <row r="18" spans="1:4" s="14" customFormat="1" ht="21" customHeight="1">
      <c r="A18" s="20" t="s">
        <v>48</v>
      </c>
      <c r="B18" s="23" t="s">
        <v>67</v>
      </c>
      <c r="C18" s="241"/>
      <c r="D18" s="241"/>
    </row>
    <row r="19" spans="1:4" s="15" customFormat="1" ht="21" customHeight="1">
      <c r="A19" s="20" t="s">
        <v>92</v>
      </c>
      <c r="B19" s="23" t="s">
        <v>79</v>
      </c>
      <c r="C19" s="242"/>
      <c r="D19" s="241">
        <f>124689+40000+10000</f>
        <v>174689</v>
      </c>
    </row>
    <row r="20" spans="1:4" ht="21" customHeight="1">
      <c r="A20" s="20" t="s">
        <v>93</v>
      </c>
      <c r="B20" s="23" t="s">
        <v>68</v>
      </c>
      <c r="C20" s="241">
        <f>25897+119660+17894+36414</f>
        <v>199865</v>
      </c>
      <c r="D20" s="432">
        <f>723954+1+6308640+1569990+4212735+1625919</f>
        <v>14441239</v>
      </c>
    </row>
    <row r="21" spans="1:4" ht="21" customHeight="1">
      <c r="A21" s="20" t="s">
        <v>112</v>
      </c>
      <c r="B21" s="23" t="s">
        <v>69</v>
      </c>
      <c r="C21" s="241"/>
      <c r="D21" s="241"/>
    </row>
    <row r="22" spans="1:4" ht="21" customHeight="1">
      <c r="A22" s="20" t="s">
        <v>113</v>
      </c>
      <c r="B22" s="23" t="s">
        <v>70</v>
      </c>
      <c r="C22" s="241"/>
      <c r="D22" s="241"/>
    </row>
    <row r="23" spans="1:4" s="2" customFormat="1" ht="21" customHeight="1">
      <c r="A23" s="20" t="s">
        <v>114</v>
      </c>
      <c r="B23" s="23" t="s">
        <v>71</v>
      </c>
      <c r="C23" s="241"/>
      <c r="D23" s="241"/>
    </row>
    <row r="24" spans="1:4" s="2" customFormat="1" ht="21" customHeight="1">
      <c r="A24" s="20" t="s">
        <v>115</v>
      </c>
      <c r="B24" s="23" t="s">
        <v>78</v>
      </c>
      <c r="C24" s="242"/>
      <c r="D24" s="241"/>
    </row>
    <row r="25" spans="1:4" s="2" customFormat="1" ht="21" customHeight="1">
      <c r="A25" s="20" t="s">
        <v>116</v>
      </c>
      <c r="B25" s="23" t="s">
        <v>72</v>
      </c>
      <c r="C25" s="241"/>
      <c r="D25" s="256"/>
    </row>
    <row r="26" spans="1:4" s="2" customFormat="1" ht="21" customHeight="1">
      <c r="A26" s="21" t="s">
        <v>22</v>
      </c>
      <c r="B26" s="22" t="s">
        <v>85</v>
      </c>
      <c r="C26" s="243">
        <f>SUM(C27:C28)</f>
        <v>0</v>
      </c>
      <c r="D26" s="243">
        <f>SUM(D27:D28)</f>
        <v>820962</v>
      </c>
    </row>
    <row r="27" spans="1:4" s="2" customFormat="1" ht="21" customHeight="1">
      <c r="A27" s="20" t="s">
        <v>49</v>
      </c>
      <c r="B27" s="23" t="s">
        <v>73</v>
      </c>
      <c r="C27" s="241"/>
      <c r="D27" s="241">
        <v>820962</v>
      </c>
    </row>
    <row r="28" spans="1:4" s="2" customFormat="1" ht="21" customHeight="1">
      <c r="A28" s="20" t="s">
        <v>50</v>
      </c>
      <c r="B28" s="23" t="s">
        <v>74</v>
      </c>
      <c r="C28" s="241"/>
      <c r="D28" s="241"/>
    </row>
    <row r="29" spans="1:4" s="2" customFormat="1" ht="21" customHeight="1">
      <c r="A29" s="32" t="s">
        <v>23</v>
      </c>
      <c r="B29" s="33" t="s">
        <v>110</v>
      </c>
      <c r="C29" s="243">
        <f>SUM(C30:C33)</f>
        <v>3692315</v>
      </c>
      <c r="D29" s="243">
        <f>SUM(D30:D33)</f>
        <v>69462476</v>
      </c>
    </row>
    <row r="30" spans="1:4" s="2" customFormat="1" ht="21" customHeight="1">
      <c r="A30" s="30" t="s">
        <v>76</v>
      </c>
      <c r="B30" s="31" t="s">
        <v>63</v>
      </c>
      <c r="C30" s="257">
        <f>3689697+813-22168</f>
        <v>3668342</v>
      </c>
      <c r="D30" s="241">
        <f>69245631+216845-448830</f>
        <v>69013646</v>
      </c>
    </row>
    <row r="31" spans="1:4" s="2" customFormat="1" ht="21" customHeight="1">
      <c r="A31" s="30" t="s">
        <v>51</v>
      </c>
      <c r="B31" s="31" t="s">
        <v>64</v>
      </c>
      <c r="C31" s="257"/>
      <c r="D31" s="258"/>
    </row>
    <row r="32" spans="1:4" s="2" customFormat="1" ht="21" customHeight="1">
      <c r="A32" s="30" t="s">
        <v>52</v>
      </c>
      <c r="B32" s="31" t="s">
        <v>65</v>
      </c>
      <c r="C32" s="257">
        <v>1805</v>
      </c>
      <c r="D32" s="258"/>
    </row>
    <row r="33" spans="1:4" s="2" customFormat="1" ht="21" customHeight="1">
      <c r="A33" s="30" t="s">
        <v>117</v>
      </c>
      <c r="B33" s="31" t="s">
        <v>130</v>
      </c>
      <c r="C33" s="257">
        <v>22168</v>
      </c>
      <c r="D33" s="258">
        <v>448830</v>
      </c>
    </row>
    <row r="34" spans="1:4" s="2" customFormat="1" ht="21" customHeight="1">
      <c r="A34" s="32" t="s">
        <v>24</v>
      </c>
      <c r="B34" s="33" t="s">
        <v>135</v>
      </c>
      <c r="C34" s="259">
        <v>9245926</v>
      </c>
      <c r="D34" s="243">
        <v>203644380</v>
      </c>
    </row>
    <row r="35" spans="1:4" s="2" customFormat="1" ht="52.5" customHeight="1">
      <c r="A35" s="568" t="s">
        <v>140</v>
      </c>
      <c r="B35" s="568"/>
      <c r="C35" s="568"/>
      <c r="D35" s="568"/>
    </row>
    <row r="36" spans="1:4" ht="15.75">
      <c r="A36" s="569" t="s">
        <v>308</v>
      </c>
      <c r="B36" s="569"/>
      <c r="C36" s="569"/>
      <c r="D36" s="569"/>
    </row>
    <row r="37" ht="15.75">
      <c r="E37" s="1"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SheetLayoutView="100" zoomScalePageLayoutView="0" workbookViewId="0" topLeftCell="A4">
      <selection activeCell="S9" sqref="S9"/>
    </sheetView>
  </sheetViews>
  <sheetFormatPr defaultColWidth="9.00390625" defaultRowHeight="15.75"/>
  <cols>
    <col min="1" max="1" width="3.875" style="4" customWidth="1"/>
    <col min="2" max="2" width="8.625" style="4" customWidth="1"/>
    <col min="3" max="3" width="5.50390625" style="4" customWidth="1"/>
    <col min="4" max="4" width="9.625" style="4" customWidth="1"/>
    <col min="5" max="5" width="9.375" style="4" customWidth="1"/>
    <col min="6" max="6" width="9.25390625" style="4" customWidth="1"/>
    <col min="7" max="7" width="7.875" style="4" customWidth="1"/>
    <col min="8" max="8" width="6.625" style="4" customWidth="1"/>
    <col min="9" max="9" width="10.125" style="4" customWidth="1"/>
    <col min="10" max="10" width="9.375" style="4" customWidth="1"/>
    <col min="11" max="11" width="9.25390625" style="4" customWidth="1"/>
    <col min="12" max="12" width="9.00390625" style="4" customWidth="1"/>
    <col min="13" max="13" width="7.75390625" style="4" customWidth="1"/>
    <col min="14" max="14" width="8.25390625" style="8" customWidth="1"/>
    <col min="15" max="15" width="9.375" style="8" customWidth="1"/>
    <col min="16" max="16" width="6.75390625" style="8" customWidth="1"/>
    <col min="17" max="17" width="8.625" style="8" customWidth="1"/>
    <col min="18" max="18" width="8.375" style="8" customWidth="1"/>
    <col min="19" max="19" width="6.625" style="8" customWidth="1"/>
    <col min="20" max="20" width="8.625" style="8" customWidth="1"/>
    <col min="21" max="21" width="8.125" style="8" customWidth="1"/>
    <col min="22" max="16384" width="9.00390625" style="4" customWidth="1"/>
  </cols>
  <sheetData>
    <row r="1" spans="1:21" ht="65.25" customHeight="1">
      <c r="A1" s="571" t="s">
        <v>327</v>
      </c>
      <c r="B1" s="571"/>
      <c r="C1" s="571"/>
      <c r="D1" s="571"/>
      <c r="E1" s="487" t="s">
        <v>436</v>
      </c>
      <c r="F1" s="487"/>
      <c r="G1" s="487"/>
      <c r="H1" s="487"/>
      <c r="I1" s="487"/>
      <c r="J1" s="487"/>
      <c r="K1" s="487"/>
      <c r="L1" s="487"/>
      <c r="M1" s="487"/>
      <c r="N1" s="487"/>
      <c r="O1" s="487"/>
      <c r="P1" s="574"/>
      <c r="Q1" s="574"/>
      <c r="R1" s="574"/>
      <c r="S1" s="574"/>
      <c r="T1" s="574"/>
      <c r="U1" s="574"/>
    </row>
    <row r="2" spans="1:22" ht="17.25" customHeight="1">
      <c r="A2" s="176"/>
      <c r="B2" s="177"/>
      <c r="C2" s="177"/>
      <c r="D2" s="177"/>
      <c r="E2" s="178"/>
      <c r="F2" s="178"/>
      <c r="G2" s="178"/>
      <c r="H2" s="178"/>
      <c r="I2" s="179"/>
      <c r="J2" s="180">
        <f>COUNTBLANK(E9:U16)</f>
        <v>34</v>
      </c>
      <c r="K2" s="181"/>
      <c r="L2" s="181"/>
      <c r="M2" s="181"/>
      <c r="N2" s="260"/>
      <c r="O2" s="182"/>
      <c r="P2" s="575" t="s">
        <v>164</v>
      </c>
      <c r="Q2" s="575"/>
      <c r="R2" s="575"/>
      <c r="S2" s="575"/>
      <c r="T2" s="575"/>
      <c r="U2" s="575"/>
      <c r="V2" s="36"/>
    </row>
    <row r="3" spans="1:21" s="11" customFormat="1" ht="15.75" customHeight="1">
      <c r="A3" s="503" t="s">
        <v>136</v>
      </c>
      <c r="B3" s="503" t="s">
        <v>157</v>
      </c>
      <c r="C3" s="572" t="s">
        <v>132</v>
      </c>
      <c r="D3" s="502" t="s">
        <v>134</v>
      </c>
      <c r="E3" s="517" t="s">
        <v>4</v>
      </c>
      <c r="F3" s="570"/>
      <c r="G3" s="502" t="s">
        <v>36</v>
      </c>
      <c r="H3" s="509" t="s">
        <v>158</v>
      </c>
      <c r="I3" s="502" t="s">
        <v>37</v>
      </c>
      <c r="J3" s="517" t="s">
        <v>4</v>
      </c>
      <c r="K3" s="518"/>
      <c r="L3" s="518"/>
      <c r="M3" s="518"/>
      <c r="N3" s="518"/>
      <c r="O3" s="518"/>
      <c r="P3" s="518"/>
      <c r="Q3" s="518"/>
      <c r="R3" s="518"/>
      <c r="S3" s="518"/>
      <c r="T3" s="512" t="s">
        <v>103</v>
      </c>
      <c r="U3" s="515" t="s">
        <v>160</v>
      </c>
    </row>
    <row r="4" spans="1:21" s="12" customFormat="1" ht="15.75" customHeight="1">
      <c r="A4" s="504"/>
      <c r="B4" s="504"/>
      <c r="C4" s="572"/>
      <c r="D4" s="502"/>
      <c r="E4" s="502" t="s">
        <v>137</v>
      </c>
      <c r="F4" s="502" t="s">
        <v>62</v>
      </c>
      <c r="G4" s="502"/>
      <c r="H4" s="509"/>
      <c r="I4" s="502"/>
      <c r="J4" s="502" t="s">
        <v>61</v>
      </c>
      <c r="K4" s="502" t="s">
        <v>4</v>
      </c>
      <c r="L4" s="502"/>
      <c r="M4" s="502"/>
      <c r="N4" s="502"/>
      <c r="O4" s="502"/>
      <c r="P4" s="502"/>
      <c r="Q4" s="509" t="s">
        <v>139</v>
      </c>
      <c r="R4" s="573" t="s">
        <v>314</v>
      </c>
      <c r="S4" s="506" t="s">
        <v>81</v>
      </c>
      <c r="T4" s="513"/>
      <c r="U4" s="516"/>
    </row>
    <row r="5" spans="1:21" s="11" customFormat="1" ht="15.75" customHeight="1">
      <c r="A5" s="504"/>
      <c r="B5" s="504"/>
      <c r="C5" s="572"/>
      <c r="D5" s="502"/>
      <c r="E5" s="502"/>
      <c r="F5" s="502"/>
      <c r="G5" s="502"/>
      <c r="H5" s="509"/>
      <c r="I5" s="502"/>
      <c r="J5" s="502"/>
      <c r="K5" s="502" t="s">
        <v>96</v>
      </c>
      <c r="L5" s="502" t="s">
        <v>4</v>
      </c>
      <c r="M5" s="502"/>
      <c r="N5" s="502"/>
      <c r="O5" s="502" t="s">
        <v>42</v>
      </c>
      <c r="P5" s="502" t="s">
        <v>46</v>
      </c>
      <c r="Q5" s="509"/>
      <c r="R5" s="573"/>
      <c r="S5" s="506"/>
      <c r="T5" s="513"/>
      <c r="U5" s="516"/>
    </row>
    <row r="6" spans="1:21" s="11" customFormat="1" ht="15.75" customHeight="1">
      <c r="A6" s="504"/>
      <c r="B6" s="504"/>
      <c r="C6" s="572"/>
      <c r="D6" s="502"/>
      <c r="E6" s="502"/>
      <c r="F6" s="502"/>
      <c r="G6" s="502"/>
      <c r="H6" s="509"/>
      <c r="I6" s="502"/>
      <c r="J6" s="502"/>
      <c r="K6" s="502"/>
      <c r="L6" s="502"/>
      <c r="M6" s="502"/>
      <c r="N6" s="502"/>
      <c r="O6" s="502"/>
      <c r="P6" s="502"/>
      <c r="Q6" s="509"/>
      <c r="R6" s="573"/>
      <c r="S6" s="506"/>
      <c r="T6" s="513"/>
      <c r="U6" s="516"/>
    </row>
    <row r="7" spans="1:23" s="11" customFormat="1" ht="63" customHeight="1">
      <c r="A7" s="505"/>
      <c r="B7" s="505"/>
      <c r="C7" s="572"/>
      <c r="D7" s="502"/>
      <c r="E7" s="502"/>
      <c r="F7" s="502"/>
      <c r="G7" s="502"/>
      <c r="H7" s="509"/>
      <c r="I7" s="502"/>
      <c r="J7" s="502"/>
      <c r="K7" s="502"/>
      <c r="L7" s="60" t="s">
        <v>39</v>
      </c>
      <c r="M7" s="60" t="s">
        <v>138</v>
      </c>
      <c r="N7" s="60" t="s">
        <v>156</v>
      </c>
      <c r="O7" s="502"/>
      <c r="P7" s="502"/>
      <c r="Q7" s="509"/>
      <c r="R7" s="573"/>
      <c r="S7" s="506"/>
      <c r="T7" s="514"/>
      <c r="U7" s="516"/>
      <c r="W7" s="45"/>
    </row>
    <row r="8" spans="1:21" ht="14.25" customHeight="1">
      <c r="A8" s="498" t="s">
        <v>3</v>
      </c>
      <c r="B8" s="499"/>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1" ht="22.5" customHeight="1">
      <c r="A9" s="44" t="s">
        <v>0</v>
      </c>
      <c r="B9" s="66" t="s">
        <v>94</v>
      </c>
      <c r="C9" s="255">
        <v>3407</v>
      </c>
      <c r="D9" s="371">
        <f>E9+F9</f>
        <v>4402</v>
      </c>
      <c r="E9" s="255">
        <v>491</v>
      </c>
      <c r="F9" s="255">
        <v>3911</v>
      </c>
      <c r="G9" s="255">
        <v>12</v>
      </c>
      <c r="H9" s="255">
        <v>1</v>
      </c>
      <c r="I9" s="371">
        <f aca="true" t="shared" si="0" ref="I9:I16">J9+Q9+R9+S9</f>
        <v>4389</v>
      </c>
      <c r="J9" s="371">
        <f>K9+O9+P9</f>
        <v>4075</v>
      </c>
      <c r="K9" s="371">
        <f>L9+M9</f>
        <v>3819</v>
      </c>
      <c r="L9" s="272">
        <v>3766</v>
      </c>
      <c r="M9" s="272">
        <v>53</v>
      </c>
      <c r="N9" s="375"/>
      <c r="O9" s="255">
        <v>256</v>
      </c>
      <c r="P9" s="273"/>
      <c r="Q9" s="273">
        <v>302</v>
      </c>
      <c r="R9" s="273">
        <v>12</v>
      </c>
      <c r="S9" s="273"/>
      <c r="T9" s="371">
        <f>SUM(O9:S9)</f>
        <v>570</v>
      </c>
      <c r="U9" s="253">
        <f>IF(J9&lt;&gt;0,K9/J9,"")</f>
        <v>0.9371779141104295</v>
      </c>
    </row>
    <row r="10" spans="1:21" s="444" customFormat="1" ht="22.5" customHeight="1">
      <c r="A10" s="440" t="s">
        <v>1</v>
      </c>
      <c r="B10" s="66" t="s">
        <v>95</v>
      </c>
      <c r="C10" s="442">
        <f>SUM(C11:C16)</f>
        <v>0</v>
      </c>
      <c r="D10" s="442">
        <f aca="true" t="shared" si="1" ref="D10:T10">SUM(D11:D16)</f>
        <v>19790200</v>
      </c>
      <c r="E10" s="442">
        <f t="shared" si="1"/>
        <v>4408502</v>
      </c>
      <c r="F10" s="442">
        <f t="shared" si="1"/>
        <v>15381698</v>
      </c>
      <c r="G10" s="442">
        <f t="shared" si="1"/>
        <v>549255</v>
      </c>
      <c r="H10" s="442">
        <f t="shared" si="1"/>
        <v>1375</v>
      </c>
      <c r="I10" s="442">
        <f t="shared" si="0"/>
        <v>19239570</v>
      </c>
      <c r="J10" s="442">
        <f t="shared" si="1"/>
        <v>15347390</v>
      </c>
      <c r="K10" s="442">
        <f t="shared" si="1"/>
        <v>13301885</v>
      </c>
      <c r="L10" s="442">
        <f t="shared" si="1"/>
        <v>12749587</v>
      </c>
      <c r="M10" s="442">
        <f t="shared" si="1"/>
        <v>302610</v>
      </c>
      <c r="N10" s="442">
        <f>SUM(N11:N16)</f>
        <v>249688</v>
      </c>
      <c r="O10" s="442">
        <f t="shared" si="1"/>
        <v>2045505</v>
      </c>
      <c r="P10" s="442">
        <f t="shared" si="1"/>
        <v>0</v>
      </c>
      <c r="Q10" s="442">
        <f t="shared" si="1"/>
        <v>3692315</v>
      </c>
      <c r="R10" s="442">
        <f t="shared" si="1"/>
        <v>199865</v>
      </c>
      <c r="S10" s="442">
        <f t="shared" si="1"/>
        <v>0</v>
      </c>
      <c r="T10" s="442">
        <f t="shared" si="1"/>
        <v>5937685</v>
      </c>
      <c r="U10" s="443">
        <f aca="true" t="shared" si="2" ref="U10:U16">IF(J10&lt;&gt;0,K10/J10,"")</f>
        <v>0.8667196832816525</v>
      </c>
    </row>
    <row r="11" spans="1:21" ht="22.5" customHeight="1">
      <c r="A11" s="48" t="s">
        <v>13</v>
      </c>
      <c r="B11" s="57" t="s">
        <v>54</v>
      </c>
      <c r="C11" s="376"/>
      <c r="D11" s="371">
        <f aca="true" t="shared" si="3" ref="D11:D16">SUM(E11:F11)</f>
        <v>6084103</v>
      </c>
      <c r="E11" s="255">
        <f>20471+209865+68811+5423+691074+326714+284833+749726</f>
        <v>2356917</v>
      </c>
      <c r="F11" s="255">
        <f>63646+526140+152636+158832+1443325+312196+756910+313501</f>
        <v>3727186</v>
      </c>
      <c r="G11" s="255">
        <f>300+23969+13627+37313+49852+16558+4919+51831</f>
        <v>198369</v>
      </c>
      <c r="H11" s="255"/>
      <c r="I11" s="371">
        <f t="shared" si="0"/>
        <v>5885734</v>
      </c>
      <c r="J11" s="371">
        <f aca="true" t="shared" si="4" ref="J11:J16">SUM(K11,O11:P11)</f>
        <v>4230998</v>
      </c>
      <c r="K11" s="371">
        <f>SUM(L11:N11)</f>
        <v>3006946</v>
      </c>
      <c r="L11" s="255">
        <f>60420+385378+108082+95786+1144334+271450+472730+388364</f>
        <v>2926544</v>
      </c>
      <c r="M11" s="255">
        <f>280+5537+6482+22786+3560+14808+11080</f>
        <v>64533</v>
      </c>
      <c r="N11" s="255">
        <f>6875+8994</f>
        <v>15869</v>
      </c>
      <c r="O11" s="255">
        <f>10116+95390+30979+1645+436254+174197+364205+111266</f>
        <v>1224052</v>
      </c>
      <c r="P11" s="255"/>
      <c r="Q11" s="255">
        <f>13001+225731+36380+29511+366579+155251+141792+491692</f>
        <v>1459937</v>
      </c>
      <c r="R11" s="255">
        <f>25897+114594+17894+36414</f>
        <v>194799</v>
      </c>
      <c r="S11" s="255"/>
      <c r="T11" s="371">
        <f aca="true" t="shared" si="5" ref="T11:T16">SUM(O11:S11)</f>
        <v>2878788</v>
      </c>
      <c r="U11" s="253">
        <f t="shared" si="2"/>
        <v>0.7106942617321019</v>
      </c>
    </row>
    <row r="12" spans="1:21" ht="22.5" customHeight="1">
      <c r="A12" s="48" t="s">
        <v>14</v>
      </c>
      <c r="B12" s="57" t="s">
        <v>55</v>
      </c>
      <c r="C12" s="376"/>
      <c r="D12" s="371">
        <f t="shared" si="3"/>
        <v>1200</v>
      </c>
      <c r="E12" s="255"/>
      <c r="F12" s="255">
        <f>300+600+300</f>
        <v>1200</v>
      </c>
      <c r="G12" s="255"/>
      <c r="H12" s="255"/>
      <c r="I12" s="371">
        <f t="shared" si="0"/>
        <v>1200</v>
      </c>
      <c r="J12" s="371">
        <f t="shared" si="4"/>
        <v>1200</v>
      </c>
      <c r="K12" s="371">
        <f>SUM(L12:N12)</f>
        <v>1200</v>
      </c>
      <c r="L12" s="255">
        <f>300+600+300</f>
        <v>1200</v>
      </c>
      <c r="M12" s="255"/>
      <c r="N12" s="255"/>
      <c r="O12" s="255"/>
      <c r="P12" s="255"/>
      <c r="Q12" s="255"/>
      <c r="R12" s="255"/>
      <c r="S12" s="255"/>
      <c r="T12" s="371">
        <f t="shared" si="5"/>
        <v>0</v>
      </c>
      <c r="U12" s="253">
        <f t="shared" si="2"/>
        <v>1</v>
      </c>
    </row>
    <row r="13" spans="1:21" ht="22.5" customHeight="1">
      <c r="A13" s="48" t="s">
        <v>19</v>
      </c>
      <c r="B13" s="57" t="s">
        <v>56</v>
      </c>
      <c r="C13" s="376"/>
      <c r="D13" s="371">
        <f t="shared" si="3"/>
        <v>3625623</v>
      </c>
      <c r="E13" s="255">
        <f>47110+88000+50896+9000+256400+689362+188716+21772</f>
        <v>1351256</v>
      </c>
      <c r="F13" s="255">
        <f>208175+564186+66306+50167+333692+212924+217379+621538</f>
        <v>2274367</v>
      </c>
      <c r="G13" s="255">
        <f>9800+69200+3000+25200+20000+3000+20000</f>
        <v>150200</v>
      </c>
      <c r="H13" s="255"/>
      <c r="I13" s="371">
        <f t="shared" si="0"/>
        <v>3475423</v>
      </c>
      <c r="J13" s="371">
        <f t="shared" si="4"/>
        <v>2220056</v>
      </c>
      <c r="K13" s="371">
        <f>SUM(L13:N13)</f>
        <v>1820564</v>
      </c>
      <c r="L13" s="255">
        <f>170185+296019+34690+52167+212994+237288+139490+405894</f>
        <v>1548727</v>
      </c>
      <c r="M13" s="255">
        <f>11183+17706+19783+81728+9873+79007</f>
        <v>219280</v>
      </c>
      <c r="N13" s="255">
        <f>2933+19482+30142</f>
        <v>52557</v>
      </c>
      <c r="O13" s="255">
        <f>37800+74400+9900+7000+46400+60892+62899+100201</f>
        <v>399492</v>
      </c>
      <c r="P13" s="255"/>
      <c r="Q13" s="255">
        <f>37500+201384+48973+221425+564323+99496+77200</f>
        <v>1250301</v>
      </c>
      <c r="R13" s="255">
        <f>5066</f>
        <v>5066</v>
      </c>
      <c r="S13" s="255"/>
      <c r="T13" s="371">
        <f t="shared" si="5"/>
        <v>1654859</v>
      </c>
      <c r="U13" s="253">
        <f t="shared" si="2"/>
        <v>0.8200531878475138</v>
      </c>
    </row>
    <row r="14" spans="1:21" ht="22.5" customHeight="1">
      <c r="A14" s="48" t="s">
        <v>22</v>
      </c>
      <c r="B14" s="57" t="s">
        <v>57</v>
      </c>
      <c r="C14" s="376"/>
      <c r="D14" s="371">
        <f t="shared" si="3"/>
        <v>1174574</v>
      </c>
      <c r="E14" s="255">
        <f>560+4004+290013+982</f>
        <v>295559</v>
      </c>
      <c r="F14" s="255">
        <f>126363+147831+21834+21413+52401+154088+128724+226361</f>
        <v>879015</v>
      </c>
      <c r="G14" s="255"/>
      <c r="H14" s="255"/>
      <c r="I14" s="371">
        <f t="shared" si="0"/>
        <v>1174574</v>
      </c>
      <c r="J14" s="371">
        <f t="shared" si="4"/>
        <v>808155</v>
      </c>
      <c r="K14" s="371">
        <f>SUM(L14:N14)</f>
        <v>789952</v>
      </c>
      <c r="L14" s="255">
        <f>126362+147831+21673+21413+52105+150627+128724+136783</f>
        <v>785518</v>
      </c>
      <c r="M14" s="255"/>
      <c r="N14" s="255">
        <f>4434</f>
        <v>4434</v>
      </c>
      <c r="O14" s="255">
        <f>561+161+4300+13181</f>
        <v>18203</v>
      </c>
      <c r="P14" s="255"/>
      <c r="Q14" s="255">
        <f>289040+77379</f>
        <v>366419</v>
      </c>
      <c r="R14" s="255"/>
      <c r="S14" s="255"/>
      <c r="T14" s="371">
        <f t="shared" si="5"/>
        <v>384622</v>
      </c>
      <c r="U14" s="253">
        <f t="shared" si="2"/>
        <v>0.9774758554980171</v>
      </c>
    </row>
    <row r="15" spans="1:21" ht="22.5" customHeight="1">
      <c r="A15" s="48" t="s">
        <v>23</v>
      </c>
      <c r="B15" s="57" t="s">
        <v>60</v>
      </c>
      <c r="C15" s="376"/>
      <c r="D15" s="371">
        <f t="shared" si="3"/>
        <v>2539187</v>
      </c>
      <c r="E15" s="255">
        <f>28400+5600+13119+41748+63609+103976+114639</f>
        <v>371091</v>
      </c>
      <c r="F15" s="255">
        <f>208711+5400+5906+729360+33616+16836+86470+1081797</f>
        <v>2168096</v>
      </c>
      <c r="G15" s="255">
        <f>600+200086</f>
        <v>200686</v>
      </c>
      <c r="H15" s="255">
        <f>1375</f>
        <v>1375</v>
      </c>
      <c r="I15" s="371">
        <f t="shared" si="0"/>
        <v>2337126</v>
      </c>
      <c r="J15" s="371">
        <f t="shared" si="4"/>
        <v>1721472</v>
      </c>
      <c r="K15" s="371">
        <f>SUM(L15:N15)</f>
        <v>1422898</v>
      </c>
      <c r="L15" s="255">
        <f>55788+10600+10572+729360+18513+5560+33106+385518</f>
        <v>1249017</v>
      </c>
      <c r="M15" s="255">
        <f>1728+803+16266</f>
        <v>18797</v>
      </c>
      <c r="N15" s="255">
        <f>4875+61570+88639</f>
        <v>155084</v>
      </c>
      <c r="O15" s="255">
        <f>125323+1850+42098+13663+51930+63710</f>
        <v>298574</v>
      </c>
      <c r="P15" s="255"/>
      <c r="Q15" s="255">
        <f>56000+400+14153+60419+26199+458483</f>
        <v>615654</v>
      </c>
      <c r="R15" s="255"/>
      <c r="S15" s="255"/>
      <c r="T15" s="371">
        <f t="shared" si="5"/>
        <v>914228</v>
      </c>
      <c r="U15" s="253">
        <f t="shared" si="2"/>
        <v>0.8265588984311101</v>
      </c>
    </row>
    <row r="16" spans="1:21" ht="22.5" customHeight="1">
      <c r="A16" s="48" t="s">
        <v>24</v>
      </c>
      <c r="B16" s="57" t="s">
        <v>58</v>
      </c>
      <c r="C16" s="376"/>
      <c r="D16" s="371">
        <f t="shared" si="3"/>
        <v>6365513</v>
      </c>
      <c r="E16" s="255">
        <f>3512+649+750+6149+21619+1000</f>
        <v>33679</v>
      </c>
      <c r="F16" s="255">
        <f>164385+1216193+339995+689377+1443753+486250+1303354+688527</f>
        <v>6331834</v>
      </c>
      <c r="G16" s="255"/>
      <c r="H16" s="255"/>
      <c r="I16" s="371">
        <f t="shared" si="0"/>
        <v>6365513</v>
      </c>
      <c r="J16" s="371">
        <f t="shared" si="4"/>
        <v>6365509</v>
      </c>
      <c r="K16" s="371">
        <f>SUM(L16:N16)</f>
        <v>6260325</v>
      </c>
      <c r="L16" s="255">
        <f>164451+1216193+331400+689377+1443275+482453+1222214+689218</f>
        <v>6238581</v>
      </c>
      <c r="M16" s="255"/>
      <c r="N16" s="255">
        <f>21744</f>
        <v>21744</v>
      </c>
      <c r="O16" s="255">
        <f>3446+9244+1227+9944+81014+309</f>
        <v>105184</v>
      </c>
      <c r="P16" s="255"/>
      <c r="Q16" s="255">
        <f>1+2+1</f>
        <v>4</v>
      </c>
      <c r="R16" s="255"/>
      <c r="S16" s="255"/>
      <c r="T16" s="371">
        <f t="shared" si="5"/>
        <v>105188</v>
      </c>
      <c r="U16" s="253">
        <f t="shared" si="2"/>
        <v>0.9834759482705939</v>
      </c>
    </row>
    <row r="17" spans="1:21" s="5" customFormat="1" ht="21" customHeight="1">
      <c r="A17" s="519" t="str">
        <f>TT!C7</f>
        <v>Tuyên Quang, ngày 4 tháng 5 năm 2022</v>
      </c>
      <c r="B17" s="520"/>
      <c r="C17" s="520"/>
      <c r="D17" s="520"/>
      <c r="E17" s="520"/>
      <c r="F17" s="245"/>
      <c r="G17" s="245"/>
      <c r="H17" s="245"/>
      <c r="I17" s="246"/>
      <c r="J17" s="246"/>
      <c r="K17" s="246"/>
      <c r="L17" s="246"/>
      <c r="M17" s="246"/>
      <c r="N17" s="521" t="str">
        <f>TT!C4</f>
        <v>Tuyên Quang, ngày 4 tháng 5 năm 2022</v>
      </c>
      <c r="O17" s="522"/>
      <c r="P17" s="522"/>
      <c r="Q17" s="522"/>
      <c r="R17" s="522"/>
      <c r="S17" s="522"/>
      <c r="T17" s="522"/>
      <c r="U17" s="261"/>
    </row>
    <row r="18" spans="1:21" ht="15.75" customHeight="1">
      <c r="A18" s="523" t="s">
        <v>290</v>
      </c>
      <c r="B18" s="524"/>
      <c r="C18" s="524"/>
      <c r="D18" s="524"/>
      <c r="E18" s="524"/>
      <c r="F18" s="247"/>
      <c r="G18" s="247"/>
      <c r="H18" s="247"/>
      <c r="I18" s="182"/>
      <c r="J18" s="182"/>
      <c r="K18" s="182"/>
      <c r="L18" s="182"/>
      <c r="M18" s="182"/>
      <c r="N18" s="525" t="str">
        <f>TT!C5</f>
        <v>CỤC TRƯỞNG</v>
      </c>
      <c r="O18" s="525"/>
      <c r="P18" s="525"/>
      <c r="Q18" s="525"/>
      <c r="R18" s="525"/>
      <c r="S18" s="525"/>
      <c r="T18" s="525"/>
      <c r="U18" s="262"/>
    </row>
    <row r="19" spans="1:21" ht="79.5" customHeight="1">
      <c r="A19" s="248"/>
      <c r="B19" s="248"/>
      <c r="C19" s="248"/>
      <c r="D19" s="248"/>
      <c r="E19" s="248"/>
      <c r="F19" s="176"/>
      <c r="G19" s="176"/>
      <c r="H19" s="176"/>
      <c r="I19" s="182"/>
      <c r="J19" s="182"/>
      <c r="K19" s="182"/>
      <c r="L19" s="182"/>
      <c r="M19" s="182"/>
      <c r="N19" s="182"/>
      <c r="O19" s="182"/>
      <c r="P19" s="249"/>
      <c r="Q19" s="176"/>
      <c r="R19" s="182"/>
      <c r="S19" s="178"/>
      <c r="T19" s="178"/>
      <c r="U19" s="178"/>
    </row>
    <row r="20" spans="1:21" ht="15.75" customHeight="1">
      <c r="A20" s="526" t="str">
        <f>TT!C6</f>
        <v>Hà Thị Mai</v>
      </c>
      <c r="B20" s="526"/>
      <c r="C20" s="526"/>
      <c r="D20" s="526"/>
      <c r="E20" s="526"/>
      <c r="F20" s="250" t="s">
        <v>2</v>
      </c>
      <c r="G20" s="250"/>
      <c r="H20" s="250"/>
      <c r="I20" s="250"/>
      <c r="J20" s="250"/>
      <c r="K20" s="250"/>
      <c r="L20" s="250"/>
      <c r="M20" s="250"/>
      <c r="N20" s="527" t="str">
        <f>TT!C3</f>
        <v>Nguyễn Tuyên</v>
      </c>
      <c r="O20" s="527"/>
      <c r="P20" s="527"/>
      <c r="Q20" s="527"/>
      <c r="R20" s="527"/>
      <c r="S20" s="527"/>
      <c r="T20" s="527"/>
      <c r="U20" s="263"/>
    </row>
    <row r="21" spans="1:21" ht="15.75">
      <c r="A21" s="264"/>
      <c r="B21" s="264"/>
      <c r="C21" s="264"/>
      <c r="D21" s="264"/>
      <c r="E21" s="264"/>
      <c r="F21" s="264"/>
      <c r="G21" s="264"/>
      <c r="H21" s="264"/>
      <c r="I21" s="264"/>
      <c r="J21" s="264"/>
      <c r="K21" s="264"/>
      <c r="L21" s="264"/>
      <c r="M21" s="264"/>
      <c r="N21" s="265"/>
      <c r="O21" s="265"/>
      <c r="P21" s="265"/>
      <c r="Q21" s="265"/>
      <c r="R21" s="265"/>
      <c r="S21" s="265"/>
      <c r="T21" s="265"/>
      <c r="U21" s="265"/>
    </row>
    <row r="22" spans="1:21" ht="15.75">
      <c r="A22" s="369" t="s">
        <v>309</v>
      </c>
      <c r="B22" s="369"/>
      <c r="C22" s="369"/>
      <c r="D22" s="369"/>
      <c r="E22" s="264"/>
      <c r="F22" s="264"/>
      <c r="G22" s="264"/>
      <c r="H22" s="264"/>
      <c r="I22" s="264"/>
      <c r="J22" s="264"/>
      <c r="K22" s="264"/>
      <c r="L22" s="264"/>
      <c r="M22" s="264"/>
      <c r="N22" s="265"/>
      <c r="O22" s="265"/>
      <c r="P22" s="265"/>
      <c r="Q22" s="265"/>
      <c r="R22" s="265"/>
      <c r="S22" s="265"/>
      <c r="T22" s="265"/>
      <c r="U22" s="265"/>
    </row>
  </sheetData>
  <sheetProtection formatCells="0" formatColumns="0" formatRows="0" insertRows="0"/>
  <mergeCells count="33">
    <mergeCell ref="P2:U2"/>
    <mergeCell ref="L5:N6"/>
    <mergeCell ref="K5:K7"/>
    <mergeCell ref="E4:E7"/>
    <mergeCell ref="U3:U7"/>
    <mergeCell ref="A1:D1"/>
    <mergeCell ref="C3:C7"/>
    <mergeCell ref="D3:D7"/>
    <mergeCell ref="I3:I7"/>
    <mergeCell ref="E1:O1"/>
    <mergeCell ref="A3:A7"/>
    <mergeCell ref="B3:B7"/>
    <mergeCell ref="K4:P4"/>
    <mergeCell ref="O5:O7"/>
    <mergeCell ref="P5:P7"/>
    <mergeCell ref="J3:S3"/>
    <mergeCell ref="H3:H7"/>
    <mergeCell ref="Q4:Q7"/>
    <mergeCell ref="R4:R7"/>
    <mergeCell ref="S4:S7"/>
    <mergeCell ref="P1:U1"/>
    <mergeCell ref="A20:E20"/>
    <mergeCell ref="N20:T20"/>
    <mergeCell ref="E3:F3"/>
    <mergeCell ref="A17:E17"/>
    <mergeCell ref="N17:T17"/>
    <mergeCell ref="A18:E18"/>
    <mergeCell ref="N18:T18"/>
    <mergeCell ref="A8:B8"/>
    <mergeCell ref="T3:T7"/>
    <mergeCell ref="F4:F7"/>
    <mergeCell ref="J4:J7"/>
    <mergeCell ref="G3:G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510" t="s">
        <v>152</v>
      </c>
      <c r="B1" s="510"/>
      <c r="C1" s="510"/>
      <c r="D1" s="510"/>
      <c r="E1" s="510"/>
      <c r="F1" s="528" t="s">
        <v>124</v>
      </c>
      <c r="G1" s="528"/>
      <c r="H1" s="528"/>
      <c r="I1" s="528"/>
      <c r="J1" s="528"/>
      <c r="K1" s="528"/>
      <c r="L1" s="528"/>
      <c r="M1" s="528"/>
      <c r="N1" s="528"/>
      <c r="O1" s="528"/>
      <c r="P1" s="43"/>
      <c r="Q1" s="532" t="s">
        <v>150</v>
      </c>
      <c r="R1" s="532"/>
      <c r="S1" s="532"/>
      <c r="T1" s="532"/>
      <c r="U1" s="532"/>
      <c r="V1" s="532"/>
    </row>
    <row r="2" spans="1:22" ht="17.25" customHeight="1">
      <c r="A2" s="25"/>
      <c r="B2" s="27"/>
      <c r="C2" s="27"/>
      <c r="D2" s="27"/>
      <c r="E2" s="6"/>
      <c r="F2" s="6"/>
      <c r="G2" s="6"/>
      <c r="H2" s="6"/>
      <c r="I2" s="6"/>
      <c r="J2" s="37"/>
      <c r="K2" s="39">
        <f>COUNTBLANK(E8:V22)</f>
        <v>252</v>
      </c>
      <c r="L2" s="39">
        <f>COUNTA(E9:V22)</f>
        <v>0</v>
      </c>
      <c r="M2" s="42">
        <f>K2+L2</f>
        <v>252</v>
      </c>
      <c r="N2" s="41"/>
      <c r="O2" s="26"/>
      <c r="P2" s="26"/>
      <c r="Q2" s="26"/>
      <c r="R2" s="547" t="s">
        <v>98</v>
      </c>
      <c r="S2" s="547"/>
      <c r="T2" s="547"/>
      <c r="U2" s="547"/>
      <c r="V2" s="547"/>
    </row>
    <row r="3" spans="1:22" s="11" customFormat="1" ht="15.75" customHeight="1">
      <c r="A3" s="576" t="s">
        <v>157</v>
      </c>
      <c r="B3" s="577"/>
      <c r="C3" s="561" t="s">
        <v>132</v>
      </c>
      <c r="D3" s="537" t="s">
        <v>134</v>
      </c>
      <c r="E3" s="582" t="s">
        <v>4</v>
      </c>
      <c r="F3" s="583"/>
      <c r="G3" s="584" t="s">
        <v>36</v>
      </c>
      <c r="H3" s="584" t="s">
        <v>82</v>
      </c>
      <c r="I3" s="590" t="s">
        <v>37</v>
      </c>
      <c r="J3" s="591"/>
      <c r="K3" s="591"/>
      <c r="L3" s="591"/>
      <c r="M3" s="591"/>
      <c r="N3" s="591"/>
      <c r="O3" s="591"/>
      <c r="P3" s="591"/>
      <c r="Q3" s="591"/>
      <c r="R3" s="591"/>
      <c r="S3" s="591"/>
      <c r="T3" s="591"/>
      <c r="U3" s="588" t="s">
        <v>103</v>
      </c>
      <c r="V3" s="537" t="s">
        <v>108</v>
      </c>
    </row>
    <row r="4" spans="1:22" s="12" customFormat="1" ht="15.75" customHeight="1">
      <c r="A4" s="578"/>
      <c r="B4" s="579"/>
      <c r="C4" s="562"/>
      <c r="D4" s="537"/>
      <c r="E4" s="529" t="s">
        <v>137</v>
      </c>
      <c r="F4" s="529" t="s">
        <v>62</v>
      </c>
      <c r="G4" s="584"/>
      <c r="H4" s="584"/>
      <c r="I4" s="584" t="s">
        <v>37</v>
      </c>
      <c r="J4" s="589" t="s">
        <v>38</v>
      </c>
      <c r="K4" s="589"/>
      <c r="L4" s="589"/>
      <c r="M4" s="589"/>
      <c r="N4" s="589"/>
      <c r="O4" s="589"/>
      <c r="P4" s="589"/>
      <c r="Q4" s="589"/>
      <c r="R4" s="548" t="s">
        <v>139</v>
      </c>
      <c r="S4" s="541" t="s">
        <v>148</v>
      </c>
      <c r="T4" s="548" t="s">
        <v>81</v>
      </c>
      <c r="U4" s="588"/>
      <c r="V4" s="537"/>
    </row>
    <row r="5" spans="1:22" s="11" customFormat="1" ht="15.75" customHeight="1">
      <c r="A5" s="578"/>
      <c r="B5" s="579"/>
      <c r="C5" s="562"/>
      <c r="D5" s="537"/>
      <c r="E5" s="530"/>
      <c r="F5" s="530"/>
      <c r="G5" s="584"/>
      <c r="H5" s="584"/>
      <c r="I5" s="584"/>
      <c r="J5" s="584" t="s">
        <v>61</v>
      </c>
      <c r="K5" s="585" t="s">
        <v>4</v>
      </c>
      <c r="L5" s="586"/>
      <c r="M5" s="586"/>
      <c r="N5" s="586"/>
      <c r="O5" s="586"/>
      <c r="P5" s="586"/>
      <c r="Q5" s="587"/>
      <c r="R5" s="549"/>
      <c r="S5" s="543"/>
      <c r="T5" s="549"/>
      <c r="U5" s="588"/>
      <c r="V5" s="537"/>
    </row>
    <row r="6" spans="1:22" s="11" customFormat="1" ht="15.75" customHeight="1">
      <c r="A6" s="578"/>
      <c r="B6" s="579"/>
      <c r="C6" s="562"/>
      <c r="D6" s="537"/>
      <c r="E6" s="530"/>
      <c r="F6" s="530"/>
      <c r="G6" s="584"/>
      <c r="H6" s="584"/>
      <c r="I6" s="584"/>
      <c r="J6" s="584"/>
      <c r="K6" s="548" t="s">
        <v>96</v>
      </c>
      <c r="L6" s="585" t="s">
        <v>4</v>
      </c>
      <c r="M6" s="586"/>
      <c r="N6" s="587"/>
      <c r="O6" s="548" t="s">
        <v>42</v>
      </c>
      <c r="P6" s="541" t="s">
        <v>147</v>
      </c>
      <c r="Q6" s="548" t="s">
        <v>46</v>
      </c>
      <c r="R6" s="549"/>
      <c r="S6" s="543"/>
      <c r="T6" s="549"/>
      <c r="U6" s="588"/>
      <c r="V6" s="537"/>
    </row>
    <row r="7" spans="1:22" s="11" customFormat="1" ht="51" customHeight="1">
      <c r="A7" s="578"/>
      <c r="B7" s="579"/>
      <c r="C7" s="563"/>
      <c r="D7" s="537"/>
      <c r="E7" s="531"/>
      <c r="F7" s="531"/>
      <c r="G7" s="584"/>
      <c r="H7" s="584"/>
      <c r="I7" s="584"/>
      <c r="J7" s="584"/>
      <c r="K7" s="550"/>
      <c r="L7" s="54" t="s">
        <v>39</v>
      </c>
      <c r="M7" s="54" t="s">
        <v>40</v>
      </c>
      <c r="N7" s="54" t="s">
        <v>159</v>
      </c>
      <c r="O7" s="550"/>
      <c r="P7" s="542"/>
      <c r="Q7" s="550"/>
      <c r="R7" s="550"/>
      <c r="S7" s="542"/>
      <c r="T7" s="550"/>
      <c r="U7" s="588"/>
      <c r="V7" s="537"/>
    </row>
    <row r="8" spans="1:22" ht="15.75">
      <c r="A8" s="580"/>
      <c r="B8" s="581"/>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551" t="s">
        <v>119</v>
      </c>
      <c r="B23" s="551"/>
      <c r="C23" s="551"/>
      <c r="D23" s="551"/>
      <c r="E23" s="551"/>
      <c r="F23" s="551"/>
      <c r="G23" s="551"/>
      <c r="H23" s="551"/>
      <c r="I23" s="551"/>
      <c r="J23" s="551"/>
      <c r="K23" s="7"/>
      <c r="L23" s="7"/>
      <c r="M23" s="7"/>
      <c r="O23" s="553" t="s">
        <v>127</v>
      </c>
      <c r="P23" s="553"/>
      <c r="Q23" s="553"/>
      <c r="R23" s="553"/>
      <c r="S23" s="553"/>
      <c r="T23" s="553"/>
      <c r="U23" s="553"/>
      <c r="V23" s="553"/>
      <c r="W23" s="5" t="s">
        <v>2</v>
      </c>
    </row>
    <row r="24" spans="1:22" ht="15.75">
      <c r="A24" s="552"/>
      <c r="B24" s="552"/>
      <c r="C24" s="552"/>
      <c r="D24" s="552"/>
      <c r="E24" s="552"/>
      <c r="F24" s="552"/>
      <c r="G24" s="552"/>
      <c r="H24" s="552"/>
      <c r="I24" s="552"/>
      <c r="J24" s="552"/>
      <c r="O24" s="554"/>
      <c r="P24" s="554"/>
      <c r="Q24" s="554"/>
      <c r="R24" s="554"/>
      <c r="S24" s="554"/>
      <c r="T24" s="554"/>
      <c r="U24" s="554"/>
      <c r="V24" s="554"/>
    </row>
  </sheetData>
  <sheetProtection/>
  <mergeCells count="29">
    <mergeCell ref="A1:E1"/>
    <mergeCell ref="F1:O1"/>
    <mergeCell ref="Q1:V1"/>
    <mergeCell ref="A23:J24"/>
    <mergeCell ref="O23:V24"/>
    <mergeCell ref="R2:V2"/>
    <mergeCell ref="V3:V7"/>
    <mergeCell ref="J5:J7"/>
    <mergeCell ref="G3:G7"/>
    <mergeCell ref="H3:H7"/>
    <mergeCell ref="P6:P7"/>
    <mergeCell ref="U3:U7"/>
    <mergeCell ref="K5:Q5"/>
    <mergeCell ref="J4:Q4"/>
    <mergeCell ref="I3:T3"/>
    <mergeCell ref="C3:C7"/>
    <mergeCell ref="S4:S7"/>
    <mergeCell ref="T4:T7"/>
    <mergeCell ref="D3:D7"/>
    <mergeCell ref="A3:B8"/>
    <mergeCell ref="E3:F3"/>
    <mergeCell ref="E4:E7"/>
    <mergeCell ref="F4:F7"/>
    <mergeCell ref="R4:R7"/>
    <mergeCell ref="K6:K7"/>
    <mergeCell ref="I4:I7"/>
    <mergeCell ref="L6:N6"/>
    <mergeCell ref="O6:O7"/>
    <mergeCell ref="Q6:Q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W66"/>
  <sheetViews>
    <sheetView tabSelected="1" zoomScaleSheetLayoutView="100" zoomScalePageLayoutView="0" workbookViewId="0" topLeftCell="A8">
      <selection activeCell="S22" sqref="S22"/>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16384" width="9.00390625" style="4" customWidth="1"/>
  </cols>
  <sheetData>
    <row r="1" spans="1:21" ht="65.25" customHeight="1">
      <c r="A1" s="510" t="s">
        <v>328</v>
      </c>
      <c r="B1" s="510"/>
      <c r="C1" s="510"/>
      <c r="D1" s="510"/>
      <c r="E1" s="487" t="s">
        <v>448</v>
      </c>
      <c r="F1" s="487"/>
      <c r="G1" s="487"/>
      <c r="H1" s="487"/>
      <c r="I1" s="487"/>
      <c r="J1" s="487"/>
      <c r="K1" s="487"/>
      <c r="L1" s="487"/>
      <c r="M1" s="487"/>
      <c r="N1" s="487"/>
      <c r="O1" s="487"/>
      <c r="P1" s="508" t="str">
        <f>TT!C2</f>
        <v>Đơn vị  báo cáo: 
Cục Thi hành án dân sự tỉnh Tuyên Quang
Đơn vị nhận báo cáo: Tổng cục Thi hành án dân sự</v>
      </c>
      <c r="Q1" s="508"/>
      <c r="R1" s="508"/>
      <c r="S1" s="508"/>
      <c r="T1" s="508"/>
      <c r="U1" s="508"/>
    </row>
    <row r="2" spans="1:22" ht="17.25" customHeight="1">
      <c r="A2" s="25"/>
      <c r="B2" s="27"/>
      <c r="C2" s="27"/>
      <c r="D2" s="27"/>
      <c r="E2" s="6"/>
      <c r="F2" s="6"/>
      <c r="G2" s="6"/>
      <c r="H2" s="6"/>
      <c r="I2" s="37"/>
      <c r="J2" s="38">
        <f>COUNTBLANK(E9:U60)</f>
        <v>315</v>
      </c>
      <c r="K2" s="39">
        <f>COUNTA(E9:U60)</f>
        <v>577</v>
      </c>
      <c r="L2" s="39">
        <f>J2+K2</f>
        <v>892</v>
      </c>
      <c r="M2" s="39"/>
      <c r="N2" s="26"/>
      <c r="O2" s="26"/>
      <c r="P2" s="511" t="s">
        <v>164</v>
      </c>
      <c r="Q2" s="511"/>
      <c r="R2" s="511"/>
      <c r="S2" s="511"/>
      <c r="T2" s="511"/>
      <c r="U2" s="511"/>
      <c r="V2" s="36"/>
    </row>
    <row r="3" spans="1:21" s="11" customFormat="1" ht="15.75" customHeight="1">
      <c r="A3" s="598" t="s">
        <v>136</v>
      </c>
      <c r="B3" s="598" t="s">
        <v>157</v>
      </c>
      <c r="C3" s="592" t="s">
        <v>163</v>
      </c>
      <c r="D3" s="502" t="s">
        <v>134</v>
      </c>
      <c r="E3" s="502" t="s">
        <v>4</v>
      </c>
      <c r="F3" s="502"/>
      <c r="G3" s="593" t="s">
        <v>36</v>
      </c>
      <c r="H3" s="594" t="s">
        <v>165</v>
      </c>
      <c r="I3" s="593" t="s">
        <v>37</v>
      </c>
      <c r="J3" s="517" t="s">
        <v>4</v>
      </c>
      <c r="K3" s="518"/>
      <c r="L3" s="518"/>
      <c r="M3" s="518"/>
      <c r="N3" s="518"/>
      <c r="O3" s="518"/>
      <c r="P3" s="518"/>
      <c r="Q3" s="518"/>
      <c r="R3" s="518"/>
      <c r="S3" s="518"/>
      <c r="T3" s="595" t="s">
        <v>103</v>
      </c>
      <c r="U3" s="515" t="s">
        <v>160</v>
      </c>
    </row>
    <row r="4" spans="1:21" s="12" customFormat="1" ht="15.75" customHeight="1">
      <c r="A4" s="599"/>
      <c r="B4" s="599"/>
      <c r="C4" s="592"/>
      <c r="D4" s="502"/>
      <c r="E4" s="502" t="s">
        <v>137</v>
      </c>
      <c r="F4" s="502" t="s">
        <v>62</v>
      </c>
      <c r="G4" s="593"/>
      <c r="H4" s="594"/>
      <c r="I4" s="593"/>
      <c r="J4" s="593" t="s">
        <v>61</v>
      </c>
      <c r="K4" s="502" t="s">
        <v>4</v>
      </c>
      <c r="L4" s="502"/>
      <c r="M4" s="502"/>
      <c r="N4" s="502"/>
      <c r="O4" s="502"/>
      <c r="P4" s="502"/>
      <c r="Q4" s="594" t="s">
        <v>139</v>
      </c>
      <c r="R4" s="593" t="s">
        <v>148</v>
      </c>
      <c r="S4" s="603" t="s">
        <v>81</v>
      </c>
      <c r="T4" s="596"/>
      <c r="U4" s="516"/>
    </row>
    <row r="5" spans="1:21" s="11" customFormat="1" ht="15.75" customHeight="1">
      <c r="A5" s="599"/>
      <c r="B5" s="599"/>
      <c r="C5" s="592"/>
      <c r="D5" s="502"/>
      <c r="E5" s="502"/>
      <c r="F5" s="502"/>
      <c r="G5" s="593"/>
      <c r="H5" s="594"/>
      <c r="I5" s="593"/>
      <c r="J5" s="593"/>
      <c r="K5" s="593" t="s">
        <v>96</v>
      </c>
      <c r="L5" s="502" t="s">
        <v>4</v>
      </c>
      <c r="M5" s="502"/>
      <c r="N5" s="593" t="s">
        <v>42</v>
      </c>
      <c r="O5" s="593" t="s">
        <v>147</v>
      </c>
      <c r="P5" s="593" t="s">
        <v>46</v>
      </c>
      <c r="Q5" s="594"/>
      <c r="R5" s="593"/>
      <c r="S5" s="603"/>
      <c r="T5" s="596"/>
      <c r="U5" s="516"/>
    </row>
    <row r="6" spans="1:21" s="11" customFormat="1" ht="15.75" customHeight="1">
      <c r="A6" s="599"/>
      <c r="B6" s="599"/>
      <c r="C6" s="592"/>
      <c r="D6" s="502"/>
      <c r="E6" s="502"/>
      <c r="F6" s="502"/>
      <c r="G6" s="593"/>
      <c r="H6" s="594"/>
      <c r="I6" s="593"/>
      <c r="J6" s="593"/>
      <c r="K6" s="593"/>
      <c r="L6" s="502"/>
      <c r="M6" s="502"/>
      <c r="N6" s="593"/>
      <c r="O6" s="593"/>
      <c r="P6" s="593"/>
      <c r="Q6" s="594"/>
      <c r="R6" s="593"/>
      <c r="S6" s="603"/>
      <c r="T6" s="596"/>
      <c r="U6" s="516"/>
    </row>
    <row r="7" spans="1:23" s="11" customFormat="1" ht="44.25" customHeight="1">
      <c r="A7" s="600"/>
      <c r="B7" s="600"/>
      <c r="C7" s="592"/>
      <c r="D7" s="502"/>
      <c r="E7" s="502"/>
      <c r="F7" s="502"/>
      <c r="G7" s="593"/>
      <c r="H7" s="594"/>
      <c r="I7" s="593"/>
      <c r="J7" s="593"/>
      <c r="K7" s="593"/>
      <c r="L7" s="60" t="s">
        <v>39</v>
      </c>
      <c r="M7" s="60" t="s">
        <v>138</v>
      </c>
      <c r="N7" s="593"/>
      <c r="O7" s="593"/>
      <c r="P7" s="593"/>
      <c r="Q7" s="594"/>
      <c r="R7" s="593"/>
      <c r="S7" s="603"/>
      <c r="T7" s="597"/>
      <c r="U7" s="516"/>
      <c r="W7" s="45"/>
    </row>
    <row r="8" spans="1:21" ht="14.25" customHeight="1">
      <c r="A8" s="601" t="s">
        <v>3</v>
      </c>
      <c r="B8" s="602"/>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2" s="455" customFormat="1" ht="16.5" customHeight="1">
      <c r="A9" s="573" t="s">
        <v>10</v>
      </c>
      <c r="B9" s="573"/>
      <c r="C9" s="453">
        <f>C10+C23</f>
        <v>1855</v>
      </c>
      <c r="D9" s="453">
        <f>E9+F9</f>
        <v>3337</v>
      </c>
      <c r="E9" s="453">
        <f>E10+E23</f>
        <v>1206</v>
      </c>
      <c r="F9" s="453">
        <f>F10+F23</f>
        <v>2131</v>
      </c>
      <c r="G9" s="453">
        <f>G10+G23</f>
        <v>18</v>
      </c>
      <c r="H9" s="453">
        <f>H10+H23</f>
        <v>1</v>
      </c>
      <c r="I9" s="453">
        <f>J9+Q9+R9+S9</f>
        <v>3318</v>
      </c>
      <c r="J9" s="453">
        <f>SUM(K9,N9:P9)</f>
        <v>2642</v>
      </c>
      <c r="K9" s="453">
        <f>L9+M9</f>
        <v>1936</v>
      </c>
      <c r="L9" s="453">
        <f aca="true" t="shared" si="0" ref="L9:S9">L10+L23</f>
        <v>1892</v>
      </c>
      <c r="M9" s="453">
        <f t="shared" si="0"/>
        <v>44</v>
      </c>
      <c r="N9" s="453">
        <f t="shared" si="0"/>
        <v>702</v>
      </c>
      <c r="O9" s="453">
        <f t="shared" si="0"/>
        <v>4</v>
      </c>
      <c r="P9" s="453">
        <f t="shared" si="0"/>
        <v>0</v>
      </c>
      <c r="Q9" s="453">
        <f t="shared" si="0"/>
        <v>614</v>
      </c>
      <c r="R9" s="453">
        <f t="shared" si="0"/>
        <v>61</v>
      </c>
      <c r="S9" s="453">
        <f t="shared" si="0"/>
        <v>1</v>
      </c>
      <c r="T9" s="453">
        <f>SUM(N9:S9)</f>
        <v>1382</v>
      </c>
      <c r="U9" s="454">
        <f>IF(J9&lt;&gt;0,K9/J9,"")</f>
        <v>0.732778198334595</v>
      </c>
      <c r="V9" s="455" t="s">
        <v>2</v>
      </c>
    </row>
    <row r="10" spans="1:21" s="185" customFormat="1" ht="13.5" customHeight="1">
      <c r="A10" s="266" t="s">
        <v>0</v>
      </c>
      <c r="B10" s="267" t="s">
        <v>28</v>
      </c>
      <c r="C10" s="453">
        <v>63</v>
      </c>
      <c r="D10" s="453">
        <f>E10+F10</f>
        <v>202</v>
      </c>
      <c r="E10" s="453">
        <f>SUM(E11:E22)</f>
        <v>100</v>
      </c>
      <c r="F10" s="453">
        <f>SUM(F11:F22)</f>
        <v>102</v>
      </c>
      <c r="G10" s="453">
        <f>SUM(G11:G22)</f>
        <v>0</v>
      </c>
      <c r="H10" s="453">
        <f>SUM(H11:H22)</f>
        <v>0</v>
      </c>
      <c r="I10" s="453">
        <f aca="true" t="shared" si="1" ref="I10:I39">J10+Q10+R10+S10</f>
        <v>202</v>
      </c>
      <c r="J10" s="453">
        <f aca="true" t="shared" si="2" ref="J10:J39">SUM(K10,N10:P10)</f>
        <v>120</v>
      </c>
      <c r="K10" s="453">
        <f aca="true" t="shared" si="3" ref="K10:K39">L10+M10</f>
        <v>88</v>
      </c>
      <c r="L10" s="453">
        <f>SUM(L11:L22)</f>
        <v>84</v>
      </c>
      <c r="M10" s="453">
        <f aca="true" t="shared" si="4" ref="M10:S10">SUM(M11:M22)</f>
        <v>4</v>
      </c>
      <c r="N10" s="453">
        <f t="shared" si="4"/>
        <v>32</v>
      </c>
      <c r="O10" s="453">
        <f t="shared" si="4"/>
        <v>0</v>
      </c>
      <c r="P10" s="453">
        <f t="shared" si="4"/>
        <v>0</v>
      </c>
      <c r="Q10" s="453">
        <f t="shared" si="4"/>
        <v>56</v>
      </c>
      <c r="R10" s="453">
        <f t="shared" si="4"/>
        <v>26</v>
      </c>
      <c r="S10" s="453">
        <f t="shared" si="4"/>
        <v>0</v>
      </c>
      <c r="T10" s="453">
        <f aca="true" t="shared" si="5" ref="T10:T39">SUM(N10:S10)</f>
        <v>114</v>
      </c>
      <c r="U10" s="454">
        <f aca="true" t="shared" si="6" ref="U10:U39">IF(J10&lt;&gt;0,K10/J10,"")</f>
        <v>0.7333333333333333</v>
      </c>
    </row>
    <row r="11" spans="1:23" s="185" customFormat="1" ht="13.5" customHeight="1">
      <c r="A11" s="268" t="s">
        <v>13</v>
      </c>
      <c r="B11" s="269" t="s">
        <v>337</v>
      </c>
      <c r="C11" s="270"/>
      <c r="D11" s="377">
        <f aca="true" t="shared" si="7" ref="D11:D39">E11+F11</f>
        <v>3</v>
      </c>
      <c r="E11" s="233"/>
      <c r="F11" s="270">
        <v>3</v>
      </c>
      <c r="G11" s="270"/>
      <c r="H11" s="270"/>
      <c r="I11" s="377">
        <f t="shared" si="1"/>
        <v>3</v>
      </c>
      <c r="J11" s="377">
        <f t="shared" si="2"/>
        <v>3</v>
      </c>
      <c r="K11" s="377">
        <f t="shared" si="3"/>
        <v>3</v>
      </c>
      <c r="L11" s="270">
        <v>3</v>
      </c>
      <c r="M11" s="270"/>
      <c r="N11" s="270"/>
      <c r="O11" s="270"/>
      <c r="P11" s="270"/>
      <c r="Q11" s="270"/>
      <c r="R11" s="270"/>
      <c r="S11" s="270"/>
      <c r="T11" s="377">
        <f t="shared" si="5"/>
        <v>0</v>
      </c>
      <c r="U11" s="445">
        <f t="shared" si="6"/>
        <v>1</v>
      </c>
      <c r="V11" s="199" t="s">
        <v>2</v>
      </c>
      <c r="W11" s="185" t="s">
        <v>2</v>
      </c>
    </row>
    <row r="12" spans="1:21" s="185" customFormat="1" ht="13.5" customHeight="1" hidden="1">
      <c r="A12" s="268" t="s">
        <v>14</v>
      </c>
      <c r="B12" s="269"/>
      <c r="C12" s="270"/>
      <c r="D12" s="377">
        <f t="shared" si="7"/>
        <v>0</v>
      </c>
      <c r="E12" s="270"/>
      <c r="F12" s="270"/>
      <c r="G12" s="270"/>
      <c r="H12" s="270"/>
      <c r="I12" s="377">
        <f t="shared" si="1"/>
        <v>0</v>
      </c>
      <c r="J12" s="377">
        <f t="shared" si="2"/>
        <v>0</v>
      </c>
      <c r="K12" s="377">
        <f t="shared" si="3"/>
        <v>0</v>
      </c>
      <c r="L12" s="270"/>
      <c r="M12" s="270"/>
      <c r="N12" s="270"/>
      <c r="O12" s="270"/>
      <c r="P12" s="271"/>
      <c r="Q12" s="271"/>
      <c r="R12" s="271"/>
      <c r="S12" s="271"/>
      <c r="T12" s="377">
        <f t="shared" si="5"/>
        <v>0</v>
      </c>
      <c r="U12" s="445">
        <f t="shared" si="6"/>
      </c>
    </row>
    <row r="13" spans="1:21" s="185" customFormat="1" ht="13.5" customHeight="1" hidden="1">
      <c r="A13" s="268" t="s">
        <v>14</v>
      </c>
      <c r="B13" s="269"/>
      <c r="C13" s="270"/>
      <c r="D13" s="377">
        <f t="shared" si="7"/>
        <v>0</v>
      </c>
      <c r="E13" s="270"/>
      <c r="F13" s="270"/>
      <c r="G13" s="270"/>
      <c r="H13" s="270"/>
      <c r="I13" s="377">
        <f t="shared" si="1"/>
        <v>0</v>
      </c>
      <c r="J13" s="377">
        <f t="shared" si="2"/>
        <v>0</v>
      </c>
      <c r="K13" s="377">
        <f t="shared" si="3"/>
        <v>0</v>
      </c>
      <c r="L13" s="270"/>
      <c r="M13" s="270"/>
      <c r="N13" s="270"/>
      <c r="O13" s="270"/>
      <c r="P13" s="271"/>
      <c r="Q13" s="271"/>
      <c r="R13" s="271"/>
      <c r="S13" s="271"/>
      <c r="T13" s="377">
        <f t="shared" si="5"/>
        <v>0</v>
      </c>
      <c r="U13" s="445">
        <f t="shared" si="6"/>
      </c>
    </row>
    <row r="14" spans="1:21" s="185" customFormat="1" ht="13.5" customHeight="1" hidden="1">
      <c r="A14" s="268" t="s">
        <v>22</v>
      </c>
      <c r="B14" s="269"/>
      <c r="C14" s="270"/>
      <c r="D14" s="377">
        <f t="shared" si="7"/>
        <v>0</v>
      </c>
      <c r="E14" s="270"/>
      <c r="F14" s="270"/>
      <c r="G14" s="270"/>
      <c r="H14" s="270"/>
      <c r="I14" s="377">
        <f t="shared" si="1"/>
        <v>0</v>
      </c>
      <c r="J14" s="377">
        <f t="shared" si="2"/>
        <v>0</v>
      </c>
      <c r="K14" s="377">
        <f t="shared" si="3"/>
        <v>0</v>
      </c>
      <c r="L14" s="270"/>
      <c r="M14" s="270"/>
      <c r="N14" s="270"/>
      <c r="O14" s="270"/>
      <c r="P14" s="271"/>
      <c r="Q14" s="271"/>
      <c r="R14" s="271"/>
      <c r="S14" s="271"/>
      <c r="T14" s="377">
        <f t="shared" si="5"/>
        <v>0</v>
      </c>
      <c r="U14" s="445">
        <f t="shared" si="6"/>
      </c>
    </row>
    <row r="15" spans="1:21" s="185" customFormat="1" ht="13.5" customHeight="1">
      <c r="A15" s="268" t="s">
        <v>14</v>
      </c>
      <c r="B15" s="269" t="s">
        <v>342</v>
      </c>
      <c r="C15" s="270"/>
      <c r="D15" s="377">
        <f t="shared" si="7"/>
        <v>3</v>
      </c>
      <c r="E15" s="270">
        <v>1</v>
      </c>
      <c r="F15" s="270">
        <v>2</v>
      </c>
      <c r="G15" s="270"/>
      <c r="H15" s="270"/>
      <c r="I15" s="377">
        <f t="shared" si="1"/>
        <v>3</v>
      </c>
      <c r="J15" s="377">
        <f t="shared" si="2"/>
        <v>2</v>
      </c>
      <c r="K15" s="377">
        <f t="shared" si="3"/>
        <v>1</v>
      </c>
      <c r="L15" s="270"/>
      <c r="M15" s="270">
        <v>1</v>
      </c>
      <c r="N15" s="270">
        <v>1</v>
      </c>
      <c r="O15" s="270"/>
      <c r="P15" s="271"/>
      <c r="Q15" s="271">
        <v>1</v>
      </c>
      <c r="R15" s="271"/>
      <c r="S15" s="271"/>
      <c r="T15" s="377">
        <f t="shared" si="5"/>
        <v>2</v>
      </c>
      <c r="U15" s="445">
        <f t="shared" si="6"/>
        <v>0.5</v>
      </c>
    </row>
    <row r="16" spans="1:21" s="185" customFormat="1" ht="13.5" customHeight="1">
      <c r="A16" s="268" t="s">
        <v>19</v>
      </c>
      <c r="B16" s="269" t="s">
        <v>339</v>
      </c>
      <c r="C16" s="270"/>
      <c r="D16" s="377">
        <f t="shared" si="7"/>
        <v>2</v>
      </c>
      <c r="E16" s="270"/>
      <c r="F16" s="270">
        <v>2</v>
      </c>
      <c r="G16" s="270"/>
      <c r="H16" s="270"/>
      <c r="I16" s="377">
        <f t="shared" si="1"/>
        <v>2</v>
      </c>
      <c r="J16" s="377">
        <f t="shared" si="2"/>
        <v>2</v>
      </c>
      <c r="K16" s="377">
        <f t="shared" si="3"/>
        <v>2</v>
      </c>
      <c r="L16" s="270">
        <v>2</v>
      </c>
      <c r="M16" s="270"/>
      <c r="N16" s="270"/>
      <c r="O16" s="270"/>
      <c r="P16" s="271"/>
      <c r="Q16" s="271"/>
      <c r="R16" s="271"/>
      <c r="S16" s="271"/>
      <c r="T16" s="377">
        <f t="shared" si="5"/>
        <v>0</v>
      </c>
      <c r="U16" s="445">
        <f t="shared" si="6"/>
        <v>1</v>
      </c>
    </row>
    <row r="17" spans="1:21" s="185" customFormat="1" ht="13.5" customHeight="1">
      <c r="A17" s="268" t="s">
        <v>22</v>
      </c>
      <c r="B17" s="269" t="s">
        <v>341</v>
      </c>
      <c r="C17" s="270"/>
      <c r="D17" s="377">
        <f t="shared" si="7"/>
        <v>2</v>
      </c>
      <c r="E17" s="270"/>
      <c r="F17" s="270">
        <v>2</v>
      </c>
      <c r="G17" s="270"/>
      <c r="H17" s="270"/>
      <c r="I17" s="377">
        <f t="shared" si="1"/>
        <v>2</v>
      </c>
      <c r="J17" s="377">
        <f t="shared" si="2"/>
        <v>2</v>
      </c>
      <c r="K17" s="377">
        <f t="shared" si="3"/>
        <v>0</v>
      </c>
      <c r="L17" s="270"/>
      <c r="M17" s="270"/>
      <c r="N17" s="270">
        <v>2</v>
      </c>
      <c r="O17" s="270"/>
      <c r="P17" s="271"/>
      <c r="Q17" s="271"/>
      <c r="R17" s="271"/>
      <c r="S17" s="271"/>
      <c r="T17" s="377">
        <f t="shared" si="5"/>
        <v>2</v>
      </c>
      <c r="U17" s="445">
        <f t="shared" si="6"/>
        <v>0</v>
      </c>
    </row>
    <row r="18" spans="1:21" s="185" customFormat="1" ht="13.5" customHeight="1">
      <c r="A18" s="268" t="s">
        <v>23</v>
      </c>
      <c r="B18" s="269" t="s">
        <v>444</v>
      </c>
      <c r="C18" s="270"/>
      <c r="D18" s="377">
        <f t="shared" si="7"/>
        <v>1</v>
      </c>
      <c r="E18" s="270"/>
      <c r="F18" s="270">
        <v>1</v>
      </c>
      <c r="G18" s="270"/>
      <c r="H18" s="270"/>
      <c r="I18" s="377">
        <f t="shared" si="1"/>
        <v>1</v>
      </c>
      <c r="J18" s="377">
        <f t="shared" si="2"/>
        <v>1</v>
      </c>
      <c r="K18" s="377">
        <f t="shared" si="3"/>
        <v>1</v>
      </c>
      <c r="L18" s="270">
        <v>1</v>
      </c>
      <c r="M18" s="270"/>
      <c r="N18" s="270"/>
      <c r="O18" s="270"/>
      <c r="P18" s="271"/>
      <c r="Q18" s="271"/>
      <c r="R18" s="271"/>
      <c r="S18" s="271"/>
      <c r="T18" s="377">
        <f t="shared" si="5"/>
        <v>0</v>
      </c>
      <c r="U18" s="445">
        <f t="shared" si="6"/>
        <v>1</v>
      </c>
    </row>
    <row r="19" spans="1:21" s="185" customFormat="1" ht="13.5" customHeight="1">
      <c r="A19" s="268" t="s">
        <v>24</v>
      </c>
      <c r="B19" s="269" t="s">
        <v>338</v>
      </c>
      <c r="C19" s="270"/>
      <c r="D19" s="377">
        <f t="shared" si="7"/>
        <v>28</v>
      </c>
      <c r="E19" s="270">
        <v>8</v>
      </c>
      <c r="F19" s="270">
        <v>20</v>
      </c>
      <c r="G19" s="270"/>
      <c r="H19" s="270"/>
      <c r="I19" s="377">
        <f t="shared" si="1"/>
        <v>28</v>
      </c>
      <c r="J19" s="377">
        <f t="shared" si="2"/>
        <v>21</v>
      </c>
      <c r="K19" s="377">
        <f t="shared" si="3"/>
        <v>17</v>
      </c>
      <c r="L19" s="270">
        <v>17</v>
      </c>
      <c r="M19" s="270"/>
      <c r="N19" s="270">
        <v>4</v>
      </c>
      <c r="O19" s="270"/>
      <c r="P19" s="271"/>
      <c r="Q19" s="271">
        <v>3</v>
      </c>
      <c r="R19" s="271">
        <v>4</v>
      </c>
      <c r="S19" s="271"/>
      <c r="T19" s="377">
        <f>SUM(N19:S19)</f>
        <v>11</v>
      </c>
      <c r="U19" s="445">
        <f>IF(J19&lt;&gt;0,K19/J19,"")</f>
        <v>0.8095238095238095</v>
      </c>
    </row>
    <row r="20" spans="1:21" s="185" customFormat="1" ht="13.5" customHeight="1">
      <c r="A20" s="268" t="s">
        <v>25</v>
      </c>
      <c r="B20" s="269" t="s">
        <v>396</v>
      </c>
      <c r="C20" s="270"/>
      <c r="D20" s="377">
        <f t="shared" si="7"/>
        <v>100</v>
      </c>
      <c r="E20" s="270">
        <v>52</v>
      </c>
      <c r="F20" s="270">
        <v>48</v>
      </c>
      <c r="G20" s="270"/>
      <c r="H20" s="270"/>
      <c r="I20" s="377">
        <f t="shared" si="1"/>
        <v>100</v>
      </c>
      <c r="J20" s="377">
        <f t="shared" si="2"/>
        <v>61</v>
      </c>
      <c r="K20" s="377">
        <f t="shared" si="3"/>
        <v>43</v>
      </c>
      <c r="L20" s="270">
        <v>42</v>
      </c>
      <c r="M20" s="270">
        <v>1</v>
      </c>
      <c r="N20" s="270">
        <v>18</v>
      </c>
      <c r="O20" s="270"/>
      <c r="P20" s="271"/>
      <c r="Q20" s="271">
        <v>33</v>
      </c>
      <c r="R20" s="271">
        <v>6</v>
      </c>
      <c r="S20" s="271"/>
      <c r="T20" s="377">
        <f t="shared" si="5"/>
        <v>57</v>
      </c>
      <c r="U20" s="445">
        <f t="shared" si="6"/>
        <v>0.7049180327868853</v>
      </c>
    </row>
    <row r="21" spans="1:21" s="185" customFormat="1" ht="13.5" customHeight="1">
      <c r="A21" s="268" t="s">
        <v>26</v>
      </c>
      <c r="B21" s="269" t="s">
        <v>340</v>
      </c>
      <c r="C21" s="270"/>
      <c r="D21" s="377">
        <f t="shared" si="7"/>
        <v>60</v>
      </c>
      <c r="E21" s="270">
        <v>38</v>
      </c>
      <c r="F21" s="270">
        <v>22</v>
      </c>
      <c r="G21" s="270"/>
      <c r="H21" s="270"/>
      <c r="I21" s="377">
        <f t="shared" si="1"/>
        <v>60</v>
      </c>
      <c r="J21" s="377">
        <f t="shared" si="2"/>
        <v>25</v>
      </c>
      <c r="K21" s="377">
        <f t="shared" si="3"/>
        <v>18</v>
      </c>
      <c r="L21" s="270">
        <v>17</v>
      </c>
      <c r="M21" s="270">
        <v>1</v>
      </c>
      <c r="N21" s="270">
        <v>7</v>
      </c>
      <c r="O21" s="270"/>
      <c r="P21" s="271"/>
      <c r="Q21" s="271">
        <v>19</v>
      </c>
      <c r="R21" s="271">
        <v>16</v>
      </c>
      <c r="S21" s="271"/>
      <c r="T21" s="377">
        <f t="shared" si="5"/>
        <v>42</v>
      </c>
      <c r="U21" s="445">
        <f t="shared" si="6"/>
        <v>0.72</v>
      </c>
    </row>
    <row r="22" spans="1:21" s="185" customFormat="1" ht="13.5" customHeight="1">
      <c r="A22" s="268" t="s">
        <v>27</v>
      </c>
      <c r="B22" s="269" t="s">
        <v>343</v>
      </c>
      <c r="C22" s="270"/>
      <c r="D22" s="377">
        <f t="shared" si="7"/>
        <v>3</v>
      </c>
      <c r="E22" s="270">
        <v>1</v>
      </c>
      <c r="F22" s="270">
        <v>2</v>
      </c>
      <c r="G22" s="270"/>
      <c r="H22" s="270"/>
      <c r="I22" s="377">
        <f t="shared" si="1"/>
        <v>3</v>
      </c>
      <c r="J22" s="377">
        <f t="shared" si="2"/>
        <v>3</v>
      </c>
      <c r="K22" s="377">
        <f t="shared" si="3"/>
        <v>3</v>
      </c>
      <c r="L22" s="270">
        <v>2</v>
      </c>
      <c r="M22" s="270">
        <v>1</v>
      </c>
      <c r="N22" s="270"/>
      <c r="O22" s="270"/>
      <c r="P22" s="271"/>
      <c r="Q22" s="271"/>
      <c r="R22" s="271"/>
      <c r="S22" s="271"/>
      <c r="T22" s="377">
        <f t="shared" si="5"/>
        <v>0</v>
      </c>
      <c r="U22" s="445">
        <f t="shared" si="6"/>
        <v>1</v>
      </c>
    </row>
    <row r="23" spans="1:21" s="185" customFormat="1" ht="15.75">
      <c r="A23" s="266" t="s">
        <v>1</v>
      </c>
      <c r="B23" s="267" t="s">
        <v>8</v>
      </c>
      <c r="C23" s="453">
        <f>C24+C33+C40+C46+C51+C55+C58</f>
        <v>1792</v>
      </c>
      <c r="D23" s="453">
        <f t="shared" si="7"/>
        <v>3135</v>
      </c>
      <c r="E23" s="453">
        <f>E24+E33+E40+E46+E51+E55+E58</f>
        <v>1106</v>
      </c>
      <c r="F23" s="453">
        <f>F24+F33+F40+F46+F51+F55+F58</f>
        <v>2029</v>
      </c>
      <c r="G23" s="453">
        <f>G24+G33+G40+G46+G51+G55+G58</f>
        <v>18</v>
      </c>
      <c r="H23" s="453">
        <f>H24+H33+H40+H46+H51+H55+H58</f>
        <v>1</v>
      </c>
      <c r="I23" s="453">
        <f t="shared" si="1"/>
        <v>3116</v>
      </c>
      <c r="J23" s="453">
        <f t="shared" si="2"/>
        <v>2522</v>
      </c>
      <c r="K23" s="453">
        <f t="shared" si="3"/>
        <v>1848</v>
      </c>
      <c r="L23" s="453">
        <f>L24+L33+L40+L46+L51+L55+L58</f>
        <v>1808</v>
      </c>
      <c r="M23" s="453">
        <f>M24+M33+M40+M46+M51+M55+M58</f>
        <v>40</v>
      </c>
      <c r="N23" s="453">
        <f>N24+N33+N40+N46+N51+N55+N58</f>
        <v>670</v>
      </c>
      <c r="O23" s="453">
        <f>O24+O33+O40+O46+O51+O55+O58</f>
        <v>4</v>
      </c>
      <c r="P23" s="453">
        <f>P24+P33+P40+P46+P51+P55+P58</f>
        <v>0</v>
      </c>
      <c r="Q23" s="453">
        <f>Q24+Q33+Q40+Q46+Q51+Q55+Q58</f>
        <v>558</v>
      </c>
      <c r="R23" s="453">
        <f>R24+R33+R40+R46+R51+R55+R58</f>
        <v>35</v>
      </c>
      <c r="S23" s="453">
        <f>S24+S33+S40+S46+S51+S55+S58</f>
        <v>1</v>
      </c>
      <c r="T23" s="453">
        <f t="shared" si="5"/>
        <v>1268</v>
      </c>
      <c r="U23" s="454">
        <f t="shared" si="6"/>
        <v>0.732751784298176</v>
      </c>
    </row>
    <row r="24" spans="1:21" s="185" customFormat="1" ht="17.25" customHeight="1">
      <c r="A24" s="266" t="s">
        <v>13</v>
      </c>
      <c r="B24" s="267" t="s">
        <v>429</v>
      </c>
      <c r="C24" s="453">
        <v>477</v>
      </c>
      <c r="D24" s="453">
        <f t="shared" si="7"/>
        <v>805</v>
      </c>
      <c r="E24" s="453">
        <f>SUM(E25:E32)</f>
        <v>303</v>
      </c>
      <c r="F24" s="453">
        <f>SUM(F25:F32)</f>
        <v>502</v>
      </c>
      <c r="G24" s="453">
        <f>SUM(G25:G32)</f>
        <v>9</v>
      </c>
      <c r="H24" s="453">
        <f>SUM(H25:H32)</f>
        <v>0</v>
      </c>
      <c r="I24" s="453">
        <f t="shared" si="1"/>
        <v>796</v>
      </c>
      <c r="J24" s="453">
        <f t="shared" si="2"/>
        <v>613</v>
      </c>
      <c r="K24" s="453">
        <f t="shared" si="3"/>
        <v>428</v>
      </c>
      <c r="L24" s="453">
        <f aca="true" t="shared" si="8" ref="L24:S24">SUM(L25:L32)</f>
        <v>408</v>
      </c>
      <c r="M24" s="453">
        <f t="shared" si="8"/>
        <v>20</v>
      </c>
      <c r="N24" s="453">
        <f t="shared" si="8"/>
        <v>182</v>
      </c>
      <c r="O24" s="453">
        <f t="shared" si="8"/>
        <v>3</v>
      </c>
      <c r="P24" s="453">
        <f t="shared" si="8"/>
        <v>0</v>
      </c>
      <c r="Q24" s="453">
        <f t="shared" si="8"/>
        <v>167</v>
      </c>
      <c r="R24" s="453">
        <f t="shared" si="8"/>
        <v>15</v>
      </c>
      <c r="S24" s="453">
        <f t="shared" si="8"/>
        <v>1</v>
      </c>
      <c r="T24" s="453">
        <f t="shared" si="5"/>
        <v>368</v>
      </c>
      <c r="U24" s="454">
        <f t="shared" si="6"/>
        <v>0.6982055464926591</v>
      </c>
    </row>
    <row r="25" spans="1:23" s="185" customFormat="1" ht="13.5" customHeight="1">
      <c r="A25" s="268" t="s">
        <v>15</v>
      </c>
      <c r="B25" s="269" t="s">
        <v>374</v>
      </c>
      <c r="C25" s="270"/>
      <c r="D25" s="377">
        <f t="shared" si="7"/>
        <v>26</v>
      </c>
      <c r="E25" s="270">
        <v>5</v>
      </c>
      <c r="F25" s="270">
        <v>21</v>
      </c>
      <c r="G25" s="270"/>
      <c r="H25" s="270"/>
      <c r="I25" s="377">
        <f t="shared" si="1"/>
        <v>26</v>
      </c>
      <c r="J25" s="377">
        <f t="shared" si="2"/>
        <v>22</v>
      </c>
      <c r="K25" s="377">
        <f t="shared" si="3"/>
        <v>21</v>
      </c>
      <c r="L25" s="270">
        <v>21</v>
      </c>
      <c r="M25" s="270"/>
      <c r="N25" s="270">
        <v>1</v>
      </c>
      <c r="O25" s="270"/>
      <c r="P25" s="271"/>
      <c r="Q25" s="271">
        <v>4</v>
      </c>
      <c r="R25" s="271"/>
      <c r="S25" s="271"/>
      <c r="T25" s="377">
        <f t="shared" si="5"/>
        <v>5</v>
      </c>
      <c r="U25" s="445">
        <f t="shared" si="6"/>
        <v>0.9545454545454546</v>
      </c>
      <c r="V25" s="185" t="s">
        <v>2</v>
      </c>
      <c r="W25" s="200"/>
    </row>
    <row r="26" spans="1:21" s="185" customFormat="1" ht="13.5" customHeight="1">
      <c r="A26" s="268" t="s">
        <v>16</v>
      </c>
      <c r="B26" s="269" t="s">
        <v>385</v>
      </c>
      <c r="C26" s="270"/>
      <c r="D26" s="377">
        <f t="shared" si="7"/>
        <v>104</v>
      </c>
      <c r="E26" s="270">
        <v>49</v>
      </c>
      <c r="F26" s="270">
        <v>55</v>
      </c>
      <c r="G26" s="270">
        <v>1</v>
      </c>
      <c r="H26" s="270"/>
      <c r="I26" s="377">
        <f t="shared" si="1"/>
        <v>103</v>
      </c>
      <c r="J26" s="377">
        <f t="shared" si="2"/>
        <v>75</v>
      </c>
      <c r="K26" s="377">
        <f t="shared" si="3"/>
        <v>42</v>
      </c>
      <c r="L26" s="270">
        <v>42</v>
      </c>
      <c r="M26" s="270"/>
      <c r="N26" s="270">
        <v>33</v>
      </c>
      <c r="O26" s="270"/>
      <c r="P26" s="271"/>
      <c r="Q26" s="271">
        <v>26</v>
      </c>
      <c r="R26" s="271">
        <v>1</v>
      </c>
      <c r="S26" s="271">
        <v>1</v>
      </c>
      <c r="T26" s="377">
        <f t="shared" si="5"/>
        <v>61</v>
      </c>
      <c r="U26" s="445">
        <f t="shared" si="6"/>
        <v>0.56</v>
      </c>
    </row>
    <row r="27" spans="1:21" s="185" customFormat="1" ht="13.5" customHeight="1">
      <c r="A27" s="268" t="s">
        <v>370</v>
      </c>
      <c r="B27" s="269" t="s">
        <v>375</v>
      </c>
      <c r="C27" s="270"/>
      <c r="D27" s="377">
        <f t="shared" si="7"/>
        <v>126</v>
      </c>
      <c r="E27" s="270">
        <v>50</v>
      </c>
      <c r="F27" s="270">
        <v>76</v>
      </c>
      <c r="G27" s="270">
        <v>3</v>
      </c>
      <c r="H27" s="270"/>
      <c r="I27" s="377">
        <f t="shared" si="1"/>
        <v>123</v>
      </c>
      <c r="J27" s="377">
        <f t="shared" si="2"/>
        <v>93</v>
      </c>
      <c r="K27" s="377">
        <f t="shared" si="3"/>
        <v>62</v>
      </c>
      <c r="L27" s="270">
        <v>59</v>
      </c>
      <c r="M27" s="270">
        <v>3</v>
      </c>
      <c r="N27" s="270">
        <v>29</v>
      </c>
      <c r="O27" s="270">
        <v>2</v>
      </c>
      <c r="P27" s="271"/>
      <c r="Q27" s="271">
        <v>30</v>
      </c>
      <c r="R27" s="271"/>
      <c r="S27" s="271"/>
      <c r="T27" s="377">
        <f t="shared" si="5"/>
        <v>61</v>
      </c>
      <c r="U27" s="445">
        <f t="shared" si="6"/>
        <v>0.6666666666666666</v>
      </c>
    </row>
    <row r="28" spans="1:21" s="185" customFormat="1" ht="13.5" customHeight="1" hidden="1">
      <c r="A28" s="268" t="s">
        <v>371</v>
      </c>
      <c r="B28" s="269"/>
      <c r="C28" s="270"/>
      <c r="D28" s="377">
        <f t="shared" si="7"/>
        <v>0</v>
      </c>
      <c r="E28" s="270"/>
      <c r="F28" s="270"/>
      <c r="G28" s="270"/>
      <c r="H28" s="270"/>
      <c r="I28" s="377">
        <f t="shared" si="1"/>
        <v>0</v>
      </c>
      <c r="J28" s="377">
        <f t="shared" si="2"/>
        <v>0</v>
      </c>
      <c r="K28" s="377">
        <f t="shared" si="3"/>
        <v>0</v>
      </c>
      <c r="L28" s="270"/>
      <c r="M28" s="270"/>
      <c r="N28" s="270"/>
      <c r="O28" s="270"/>
      <c r="P28" s="271"/>
      <c r="Q28" s="271"/>
      <c r="R28" s="271"/>
      <c r="S28" s="271"/>
      <c r="T28" s="377">
        <f t="shared" si="5"/>
        <v>0</v>
      </c>
      <c r="U28" s="445">
        <f t="shared" si="6"/>
      </c>
    </row>
    <row r="29" spans="1:21" s="185" customFormat="1" ht="2.25" customHeight="1" hidden="1">
      <c r="A29" s="268" t="s">
        <v>372</v>
      </c>
      <c r="B29" s="269"/>
      <c r="C29" s="270"/>
      <c r="D29" s="377">
        <f t="shared" si="7"/>
        <v>0</v>
      </c>
      <c r="E29" s="270"/>
      <c r="F29" s="270"/>
      <c r="G29" s="270"/>
      <c r="H29" s="270"/>
      <c r="I29" s="377">
        <f t="shared" si="1"/>
        <v>0</v>
      </c>
      <c r="J29" s="377">
        <f t="shared" si="2"/>
        <v>0</v>
      </c>
      <c r="K29" s="377">
        <f t="shared" si="3"/>
        <v>0</v>
      </c>
      <c r="L29" s="270"/>
      <c r="M29" s="270"/>
      <c r="N29" s="270"/>
      <c r="O29" s="270"/>
      <c r="P29" s="271"/>
      <c r="Q29" s="271"/>
      <c r="R29" s="271"/>
      <c r="S29" s="271"/>
      <c r="T29" s="377">
        <f t="shared" si="5"/>
        <v>0</v>
      </c>
      <c r="U29" s="445">
        <f t="shared" si="6"/>
      </c>
    </row>
    <row r="30" spans="1:21" s="185" customFormat="1" ht="13.5" customHeight="1">
      <c r="A30" s="268" t="s">
        <v>371</v>
      </c>
      <c r="B30" s="269" t="s">
        <v>395</v>
      </c>
      <c r="C30" s="270"/>
      <c r="D30" s="377">
        <f t="shared" si="7"/>
        <v>191</v>
      </c>
      <c r="E30" s="270">
        <v>79</v>
      </c>
      <c r="F30" s="270">
        <v>112</v>
      </c>
      <c r="G30" s="270">
        <v>1</v>
      </c>
      <c r="H30" s="270"/>
      <c r="I30" s="377">
        <f t="shared" si="1"/>
        <v>190</v>
      </c>
      <c r="J30" s="377">
        <f t="shared" si="2"/>
        <v>126</v>
      </c>
      <c r="K30" s="377">
        <f t="shared" si="3"/>
        <v>87</v>
      </c>
      <c r="L30" s="270">
        <v>86</v>
      </c>
      <c r="M30" s="270">
        <v>1</v>
      </c>
      <c r="N30" s="270">
        <v>38</v>
      </c>
      <c r="O30" s="270">
        <v>1</v>
      </c>
      <c r="P30" s="271"/>
      <c r="Q30" s="271">
        <v>63</v>
      </c>
      <c r="R30" s="271">
        <v>1</v>
      </c>
      <c r="S30" s="271"/>
      <c r="T30" s="377">
        <f t="shared" si="5"/>
        <v>103</v>
      </c>
      <c r="U30" s="445">
        <f t="shared" si="6"/>
        <v>0.6904761904761905</v>
      </c>
    </row>
    <row r="31" spans="1:21" s="185" customFormat="1" ht="13.5" customHeight="1">
      <c r="A31" s="268" t="s">
        <v>372</v>
      </c>
      <c r="B31" s="269" t="s">
        <v>377</v>
      </c>
      <c r="C31" s="270"/>
      <c r="D31" s="377">
        <f t="shared" si="7"/>
        <v>168</v>
      </c>
      <c r="E31" s="270">
        <v>57</v>
      </c>
      <c r="F31" s="270">
        <v>111</v>
      </c>
      <c r="G31" s="270"/>
      <c r="H31" s="270"/>
      <c r="I31" s="377">
        <f t="shared" si="1"/>
        <v>168</v>
      </c>
      <c r="J31" s="377">
        <f t="shared" si="2"/>
        <v>131</v>
      </c>
      <c r="K31" s="377">
        <f t="shared" si="3"/>
        <v>103</v>
      </c>
      <c r="L31" s="270">
        <v>95</v>
      </c>
      <c r="M31" s="270">
        <v>8</v>
      </c>
      <c r="N31" s="270">
        <v>28</v>
      </c>
      <c r="O31" s="270"/>
      <c r="P31" s="271"/>
      <c r="Q31" s="271">
        <v>28</v>
      </c>
      <c r="R31" s="271">
        <v>9</v>
      </c>
      <c r="S31" s="271"/>
      <c r="T31" s="377">
        <f t="shared" si="5"/>
        <v>65</v>
      </c>
      <c r="U31" s="445">
        <f t="shared" si="6"/>
        <v>0.7862595419847328</v>
      </c>
    </row>
    <row r="32" spans="1:21" s="185" customFormat="1" ht="13.5" customHeight="1">
      <c r="A32" s="268" t="s">
        <v>373</v>
      </c>
      <c r="B32" s="269" t="s">
        <v>378</v>
      </c>
      <c r="C32" s="270"/>
      <c r="D32" s="377">
        <f t="shared" si="7"/>
        <v>190</v>
      </c>
      <c r="E32" s="270">
        <v>63</v>
      </c>
      <c r="F32" s="270">
        <v>127</v>
      </c>
      <c r="G32" s="270">
        <v>4</v>
      </c>
      <c r="H32" s="270"/>
      <c r="I32" s="377">
        <f t="shared" si="1"/>
        <v>186</v>
      </c>
      <c r="J32" s="377">
        <f t="shared" si="2"/>
        <v>166</v>
      </c>
      <c r="K32" s="377">
        <f t="shared" si="3"/>
        <v>113</v>
      </c>
      <c r="L32" s="270">
        <v>105</v>
      </c>
      <c r="M32" s="270">
        <v>8</v>
      </c>
      <c r="N32" s="270">
        <v>53</v>
      </c>
      <c r="O32" s="270"/>
      <c r="P32" s="271"/>
      <c r="Q32" s="271">
        <v>16</v>
      </c>
      <c r="R32" s="271">
        <v>4</v>
      </c>
      <c r="S32" s="271"/>
      <c r="T32" s="377">
        <f t="shared" si="5"/>
        <v>73</v>
      </c>
      <c r="U32" s="445">
        <f t="shared" si="6"/>
        <v>0.6807228915662651</v>
      </c>
    </row>
    <row r="33" spans="1:21" s="185" customFormat="1" ht="13.5" customHeight="1">
      <c r="A33" s="266" t="s">
        <v>14</v>
      </c>
      <c r="B33" s="267" t="s">
        <v>345</v>
      </c>
      <c r="C33" s="453">
        <v>223</v>
      </c>
      <c r="D33" s="453">
        <f t="shared" si="7"/>
        <v>491</v>
      </c>
      <c r="E33" s="453">
        <f>SUM(E34:E39)</f>
        <v>230</v>
      </c>
      <c r="F33" s="453">
        <f>SUM(F34:F39)</f>
        <v>261</v>
      </c>
      <c r="G33" s="453">
        <f>SUM(G34:G39)</f>
        <v>0</v>
      </c>
      <c r="H33" s="453">
        <f>SUM(H34:H39)</f>
        <v>0</v>
      </c>
      <c r="I33" s="453">
        <f t="shared" si="1"/>
        <v>491</v>
      </c>
      <c r="J33" s="453">
        <f t="shared" si="2"/>
        <v>353</v>
      </c>
      <c r="K33" s="453">
        <f t="shared" si="3"/>
        <v>257</v>
      </c>
      <c r="L33" s="453">
        <f aca="true" t="shared" si="9" ref="L33:S33">SUM(L34:L39)</f>
        <v>244</v>
      </c>
      <c r="M33" s="453">
        <f t="shared" si="9"/>
        <v>13</v>
      </c>
      <c r="N33" s="453">
        <f t="shared" si="9"/>
        <v>96</v>
      </c>
      <c r="O33" s="453">
        <f t="shared" si="9"/>
        <v>0</v>
      </c>
      <c r="P33" s="453">
        <f t="shared" si="9"/>
        <v>0</v>
      </c>
      <c r="Q33" s="453">
        <f t="shared" si="9"/>
        <v>136</v>
      </c>
      <c r="R33" s="453">
        <f t="shared" si="9"/>
        <v>2</v>
      </c>
      <c r="S33" s="453">
        <f t="shared" si="9"/>
        <v>0</v>
      </c>
      <c r="T33" s="453">
        <f t="shared" si="5"/>
        <v>234</v>
      </c>
      <c r="U33" s="454">
        <f t="shared" si="6"/>
        <v>0.7280453257790368</v>
      </c>
    </row>
    <row r="34" spans="1:21" s="185" customFormat="1" ht="13.5" customHeight="1">
      <c r="A34" s="268" t="s">
        <v>17</v>
      </c>
      <c r="B34" s="269" t="s">
        <v>431</v>
      </c>
      <c r="C34" s="270"/>
      <c r="D34" s="377">
        <f t="shared" si="7"/>
        <v>34</v>
      </c>
      <c r="E34" s="270">
        <v>19</v>
      </c>
      <c r="F34" s="270">
        <v>15</v>
      </c>
      <c r="G34" s="270"/>
      <c r="H34" s="270"/>
      <c r="I34" s="377">
        <f t="shared" si="1"/>
        <v>34</v>
      </c>
      <c r="J34" s="377">
        <f t="shared" si="2"/>
        <v>22</v>
      </c>
      <c r="K34" s="377">
        <f t="shared" si="3"/>
        <v>19</v>
      </c>
      <c r="L34" s="270">
        <v>15</v>
      </c>
      <c r="M34" s="270">
        <v>4</v>
      </c>
      <c r="N34" s="270">
        <v>3</v>
      </c>
      <c r="O34" s="270"/>
      <c r="P34" s="271"/>
      <c r="Q34" s="271">
        <v>12</v>
      </c>
      <c r="R34" s="271"/>
      <c r="S34" s="271"/>
      <c r="T34" s="377">
        <f t="shared" si="5"/>
        <v>15</v>
      </c>
      <c r="U34" s="445">
        <f t="shared" si="6"/>
        <v>0.8636363636363636</v>
      </c>
    </row>
    <row r="35" spans="1:21" s="185" customFormat="1" ht="13.5" customHeight="1">
      <c r="A35" s="268" t="s">
        <v>389</v>
      </c>
      <c r="B35" s="269" t="s">
        <v>376</v>
      </c>
      <c r="C35" s="270"/>
      <c r="D35" s="377">
        <f t="shared" si="7"/>
        <v>121</v>
      </c>
      <c r="E35" s="270">
        <v>64</v>
      </c>
      <c r="F35" s="270">
        <v>57</v>
      </c>
      <c r="G35" s="270"/>
      <c r="H35" s="270"/>
      <c r="I35" s="377">
        <f t="shared" si="1"/>
        <v>121</v>
      </c>
      <c r="J35" s="377">
        <f t="shared" si="2"/>
        <v>85</v>
      </c>
      <c r="K35" s="377">
        <f t="shared" si="3"/>
        <v>63</v>
      </c>
      <c r="L35" s="270">
        <v>60</v>
      </c>
      <c r="M35" s="270">
        <v>3</v>
      </c>
      <c r="N35" s="270">
        <v>22</v>
      </c>
      <c r="O35" s="270"/>
      <c r="P35" s="271"/>
      <c r="Q35" s="271">
        <v>34</v>
      </c>
      <c r="R35" s="271">
        <v>2</v>
      </c>
      <c r="S35" s="271"/>
      <c r="T35" s="377">
        <f t="shared" si="5"/>
        <v>58</v>
      </c>
      <c r="U35" s="445">
        <f t="shared" si="6"/>
        <v>0.7411764705882353</v>
      </c>
    </row>
    <row r="36" spans="1:21" s="185" customFormat="1" ht="13.5" customHeight="1">
      <c r="A36" s="268" t="s">
        <v>390</v>
      </c>
      <c r="B36" s="269" t="s">
        <v>394</v>
      </c>
      <c r="C36" s="270"/>
      <c r="D36" s="377">
        <f t="shared" si="7"/>
        <v>156</v>
      </c>
      <c r="E36" s="270">
        <v>89</v>
      </c>
      <c r="F36" s="270">
        <v>67</v>
      </c>
      <c r="G36" s="270"/>
      <c r="H36" s="270"/>
      <c r="I36" s="377">
        <f t="shared" si="1"/>
        <v>156</v>
      </c>
      <c r="J36" s="377">
        <f t="shared" si="2"/>
        <v>109</v>
      </c>
      <c r="K36" s="377">
        <f t="shared" si="3"/>
        <v>69</v>
      </c>
      <c r="L36" s="270">
        <v>66</v>
      </c>
      <c r="M36" s="270">
        <v>3</v>
      </c>
      <c r="N36" s="270">
        <v>40</v>
      </c>
      <c r="O36" s="270"/>
      <c r="P36" s="271"/>
      <c r="Q36" s="271">
        <v>47</v>
      </c>
      <c r="R36" s="271"/>
      <c r="S36" s="271"/>
      <c r="T36" s="377">
        <f t="shared" si="5"/>
        <v>87</v>
      </c>
      <c r="U36" s="445">
        <f t="shared" si="6"/>
        <v>0.6330275229357798</v>
      </c>
    </row>
    <row r="37" spans="1:21" s="185" customFormat="1" ht="13.5" customHeight="1">
      <c r="A37" s="268" t="s">
        <v>391</v>
      </c>
      <c r="B37" s="269" t="s">
        <v>386</v>
      </c>
      <c r="C37" s="270"/>
      <c r="D37" s="377">
        <f t="shared" si="7"/>
        <v>180</v>
      </c>
      <c r="E37" s="270">
        <v>58</v>
      </c>
      <c r="F37" s="270">
        <v>122</v>
      </c>
      <c r="G37" s="270"/>
      <c r="H37" s="270"/>
      <c r="I37" s="377">
        <f t="shared" si="1"/>
        <v>180</v>
      </c>
      <c r="J37" s="377">
        <f t="shared" si="2"/>
        <v>137</v>
      </c>
      <c r="K37" s="377">
        <f t="shared" si="3"/>
        <v>106</v>
      </c>
      <c r="L37" s="270">
        <v>103</v>
      </c>
      <c r="M37" s="270">
        <v>3</v>
      </c>
      <c r="N37" s="270">
        <v>31</v>
      </c>
      <c r="O37" s="270"/>
      <c r="P37" s="271"/>
      <c r="Q37" s="271">
        <v>43</v>
      </c>
      <c r="R37" s="271"/>
      <c r="S37" s="271"/>
      <c r="T37" s="377">
        <f t="shared" si="5"/>
        <v>74</v>
      </c>
      <c r="U37" s="445">
        <f t="shared" si="6"/>
        <v>0.7737226277372263</v>
      </c>
    </row>
    <row r="38" spans="1:21" s="185" customFormat="1" ht="2.25" customHeight="1" hidden="1">
      <c r="A38" s="268" t="s">
        <v>392</v>
      </c>
      <c r="B38" s="269"/>
      <c r="C38" s="270"/>
      <c r="D38" s="377">
        <f t="shared" si="7"/>
        <v>0</v>
      </c>
      <c r="E38" s="270"/>
      <c r="F38" s="270"/>
      <c r="G38" s="270"/>
      <c r="H38" s="270"/>
      <c r="I38" s="377">
        <f t="shared" si="1"/>
        <v>0</v>
      </c>
      <c r="J38" s="377">
        <f t="shared" si="2"/>
        <v>0</v>
      </c>
      <c r="K38" s="377">
        <f t="shared" si="3"/>
        <v>0</v>
      </c>
      <c r="L38" s="270"/>
      <c r="M38" s="270"/>
      <c r="N38" s="270"/>
      <c r="O38" s="270"/>
      <c r="P38" s="271"/>
      <c r="Q38" s="271"/>
      <c r="R38" s="271"/>
      <c r="S38" s="271"/>
      <c r="T38" s="377">
        <f t="shared" si="5"/>
        <v>0</v>
      </c>
      <c r="U38" s="445">
        <f t="shared" si="6"/>
      </c>
    </row>
    <row r="39" spans="1:21" s="185" customFormat="1" ht="13.5" customHeight="1" hidden="1">
      <c r="A39" s="268" t="s">
        <v>393</v>
      </c>
      <c r="B39" s="269"/>
      <c r="C39" s="270"/>
      <c r="D39" s="377">
        <f t="shared" si="7"/>
        <v>0</v>
      </c>
      <c r="E39" s="270"/>
      <c r="F39" s="270"/>
      <c r="G39" s="270"/>
      <c r="H39" s="270"/>
      <c r="I39" s="377">
        <f t="shared" si="1"/>
        <v>0</v>
      </c>
      <c r="J39" s="377">
        <f t="shared" si="2"/>
        <v>0</v>
      </c>
      <c r="K39" s="377">
        <f t="shared" si="3"/>
        <v>0</v>
      </c>
      <c r="L39" s="270"/>
      <c r="M39" s="270"/>
      <c r="N39" s="270"/>
      <c r="O39" s="270"/>
      <c r="P39" s="271"/>
      <c r="Q39" s="271"/>
      <c r="R39" s="271"/>
      <c r="S39" s="271"/>
      <c r="T39" s="377">
        <f t="shared" si="5"/>
        <v>0</v>
      </c>
      <c r="U39" s="445">
        <f t="shared" si="6"/>
      </c>
    </row>
    <row r="40" spans="1:21" s="185" customFormat="1" ht="13.5" customHeight="1">
      <c r="A40" s="266" t="s">
        <v>19</v>
      </c>
      <c r="B40" s="267" t="s">
        <v>346</v>
      </c>
      <c r="C40" s="453">
        <v>384</v>
      </c>
      <c r="D40" s="453">
        <f>E40+F40</f>
        <v>727</v>
      </c>
      <c r="E40" s="453">
        <f>SUM(E41:E45)</f>
        <v>233</v>
      </c>
      <c r="F40" s="453">
        <f>SUM(F41:F45)</f>
        <v>494</v>
      </c>
      <c r="G40" s="453">
        <f>SUM(G41:G45)</f>
        <v>0</v>
      </c>
      <c r="H40" s="453">
        <f>SUM(H41:H45)</f>
        <v>1</v>
      </c>
      <c r="I40" s="453">
        <f aca="true" t="shared" si="10" ref="I40:I45">J40+Q40+R40+S40</f>
        <v>726</v>
      </c>
      <c r="J40" s="453">
        <f aca="true" t="shared" si="11" ref="J40:J45">SUM(K40,N40:P40)</f>
        <v>640</v>
      </c>
      <c r="K40" s="453">
        <f aca="true" t="shared" si="12" ref="K40:K45">L40+M40</f>
        <v>454</v>
      </c>
      <c r="L40" s="453">
        <f>SUM(L41:L45)</f>
        <v>451</v>
      </c>
      <c r="M40" s="453">
        <f>SUM(M41:M45)</f>
        <v>3</v>
      </c>
      <c r="N40" s="453">
        <f>SUM(N41:N45)</f>
        <v>186</v>
      </c>
      <c r="O40" s="453">
        <f>SUM(O41:O45)</f>
        <v>0</v>
      </c>
      <c r="P40" s="453">
        <f>SUM(P41:P45)</f>
        <v>0</v>
      </c>
      <c r="Q40" s="453">
        <f>SUM(Q41:Q45)</f>
        <v>77</v>
      </c>
      <c r="R40" s="453">
        <f>SUM(R41:R45)</f>
        <v>9</v>
      </c>
      <c r="S40" s="453">
        <f>SUM(S41:S45)</f>
        <v>0</v>
      </c>
      <c r="T40" s="453">
        <f aca="true" t="shared" si="13" ref="T40:T45">SUM(N40:S40)</f>
        <v>272</v>
      </c>
      <c r="U40" s="454">
        <f aca="true" t="shared" si="14" ref="U40:U45">IF(J40&lt;&gt;0,K40/J40,"")</f>
        <v>0.709375</v>
      </c>
    </row>
    <row r="41" spans="1:21" s="185" customFormat="1" ht="13.5" customHeight="1">
      <c r="A41" s="268" t="s">
        <v>379</v>
      </c>
      <c r="B41" s="269" t="s">
        <v>369</v>
      </c>
      <c r="C41" s="377"/>
      <c r="D41" s="377">
        <f>E41+F41</f>
        <v>37</v>
      </c>
      <c r="E41" s="446">
        <v>6</v>
      </c>
      <c r="F41" s="446">
        <v>31</v>
      </c>
      <c r="G41" s="446"/>
      <c r="H41" s="446"/>
      <c r="I41" s="377">
        <f t="shared" si="10"/>
        <v>37</v>
      </c>
      <c r="J41" s="377">
        <f t="shared" si="11"/>
        <v>36</v>
      </c>
      <c r="K41" s="377">
        <f t="shared" si="12"/>
        <v>33</v>
      </c>
      <c r="L41" s="446">
        <v>33</v>
      </c>
      <c r="M41" s="446"/>
      <c r="N41" s="446">
        <v>3</v>
      </c>
      <c r="O41" s="446"/>
      <c r="P41" s="446"/>
      <c r="Q41" s="446">
        <v>1</v>
      </c>
      <c r="R41" s="446"/>
      <c r="S41" s="446"/>
      <c r="T41" s="377">
        <f t="shared" si="13"/>
        <v>4</v>
      </c>
      <c r="U41" s="445">
        <f t="shared" si="14"/>
        <v>0.9166666666666666</v>
      </c>
    </row>
    <row r="42" spans="1:21" s="185" customFormat="1" ht="13.5" customHeight="1">
      <c r="A42" s="268" t="s">
        <v>380</v>
      </c>
      <c r="B42" s="269" t="s">
        <v>354</v>
      </c>
      <c r="C42" s="377"/>
      <c r="D42" s="377">
        <f>E42+F42</f>
        <v>268</v>
      </c>
      <c r="E42" s="446">
        <v>80</v>
      </c>
      <c r="F42" s="446">
        <v>188</v>
      </c>
      <c r="G42" s="446"/>
      <c r="H42" s="446"/>
      <c r="I42" s="377">
        <f t="shared" si="10"/>
        <v>268</v>
      </c>
      <c r="J42" s="377">
        <f t="shared" si="11"/>
        <v>236</v>
      </c>
      <c r="K42" s="377">
        <f t="shared" si="12"/>
        <v>173</v>
      </c>
      <c r="L42" s="446">
        <v>172</v>
      </c>
      <c r="M42" s="446">
        <v>1</v>
      </c>
      <c r="N42" s="446">
        <v>63</v>
      </c>
      <c r="O42" s="446"/>
      <c r="P42" s="446"/>
      <c r="Q42" s="446">
        <v>29</v>
      </c>
      <c r="R42" s="446">
        <v>3</v>
      </c>
      <c r="S42" s="446"/>
      <c r="T42" s="377">
        <f t="shared" si="13"/>
        <v>95</v>
      </c>
      <c r="U42" s="445">
        <f t="shared" si="14"/>
        <v>0.7330508474576272</v>
      </c>
    </row>
    <row r="43" spans="1:21" s="185" customFormat="1" ht="13.5" customHeight="1">
      <c r="A43" s="268" t="s">
        <v>381</v>
      </c>
      <c r="B43" s="269" t="s">
        <v>387</v>
      </c>
      <c r="C43" s="377"/>
      <c r="D43" s="377">
        <f>E43+F43</f>
        <v>263</v>
      </c>
      <c r="E43" s="446">
        <v>83</v>
      </c>
      <c r="F43" s="446">
        <v>180</v>
      </c>
      <c r="G43" s="446"/>
      <c r="H43" s="446">
        <v>1</v>
      </c>
      <c r="I43" s="377">
        <f t="shared" si="10"/>
        <v>262</v>
      </c>
      <c r="J43" s="377">
        <f t="shared" si="11"/>
        <v>230</v>
      </c>
      <c r="K43" s="377">
        <f t="shared" si="12"/>
        <v>179</v>
      </c>
      <c r="L43" s="446">
        <v>178</v>
      </c>
      <c r="M43" s="446">
        <v>1</v>
      </c>
      <c r="N43" s="446">
        <v>51</v>
      </c>
      <c r="O43" s="446"/>
      <c r="P43" s="446"/>
      <c r="Q43" s="446">
        <v>29</v>
      </c>
      <c r="R43" s="446">
        <v>3</v>
      </c>
      <c r="S43" s="446"/>
      <c r="T43" s="377">
        <f t="shared" si="13"/>
        <v>83</v>
      </c>
      <c r="U43" s="445">
        <f t="shared" si="14"/>
        <v>0.7782608695652173</v>
      </c>
    </row>
    <row r="44" spans="1:21" s="185" customFormat="1" ht="13.5" customHeight="1">
      <c r="A44" s="268" t="s">
        <v>382</v>
      </c>
      <c r="B44" s="269" t="s">
        <v>388</v>
      </c>
      <c r="C44" s="270"/>
      <c r="D44" s="377">
        <f>E44+F44</f>
        <v>159</v>
      </c>
      <c r="E44" s="270">
        <v>64</v>
      </c>
      <c r="F44" s="270">
        <v>95</v>
      </c>
      <c r="G44" s="270"/>
      <c r="H44" s="270"/>
      <c r="I44" s="377">
        <f t="shared" si="10"/>
        <v>159</v>
      </c>
      <c r="J44" s="377">
        <f t="shared" si="11"/>
        <v>138</v>
      </c>
      <c r="K44" s="377">
        <f t="shared" si="12"/>
        <v>69</v>
      </c>
      <c r="L44" s="270">
        <v>68</v>
      </c>
      <c r="M44" s="270">
        <v>1</v>
      </c>
      <c r="N44" s="270">
        <v>69</v>
      </c>
      <c r="O44" s="270"/>
      <c r="P44" s="271"/>
      <c r="Q44" s="271">
        <v>18</v>
      </c>
      <c r="R44" s="271">
        <v>3</v>
      </c>
      <c r="S44" s="271"/>
      <c r="T44" s="377">
        <f t="shared" si="13"/>
        <v>90</v>
      </c>
      <c r="U44" s="445">
        <f t="shared" si="14"/>
        <v>0.5</v>
      </c>
    </row>
    <row r="45" spans="1:21" s="185" customFormat="1" ht="13.5" customHeight="1" hidden="1">
      <c r="A45" s="268" t="s">
        <v>383</v>
      </c>
      <c r="B45" s="269"/>
      <c r="C45" s="270"/>
      <c r="D45" s="377">
        <f>E45+F45</f>
        <v>0</v>
      </c>
      <c r="E45" s="270"/>
      <c r="F45" s="270"/>
      <c r="G45" s="270"/>
      <c r="H45" s="270"/>
      <c r="I45" s="377">
        <f t="shared" si="10"/>
        <v>0</v>
      </c>
      <c r="J45" s="377">
        <f t="shared" si="11"/>
        <v>0</v>
      </c>
      <c r="K45" s="377">
        <f t="shared" si="12"/>
        <v>0</v>
      </c>
      <c r="L45" s="270"/>
      <c r="M45" s="270"/>
      <c r="N45" s="270"/>
      <c r="O45" s="270"/>
      <c r="P45" s="271"/>
      <c r="Q45" s="271"/>
      <c r="R45" s="271"/>
      <c r="S45" s="271"/>
      <c r="T45" s="377">
        <f t="shared" si="13"/>
        <v>0</v>
      </c>
      <c r="U45" s="445">
        <f t="shared" si="14"/>
      </c>
    </row>
    <row r="46" spans="1:21" s="185" customFormat="1" ht="13.5" customHeight="1">
      <c r="A46" s="266" t="s">
        <v>22</v>
      </c>
      <c r="B46" s="267" t="s">
        <v>347</v>
      </c>
      <c r="C46" s="453">
        <v>289</v>
      </c>
      <c r="D46" s="453">
        <f>E46+F46</f>
        <v>476</v>
      </c>
      <c r="E46" s="453">
        <f>SUM(E47:E50)</f>
        <v>137</v>
      </c>
      <c r="F46" s="453">
        <f>SUM(F47:F50)</f>
        <v>339</v>
      </c>
      <c r="G46" s="453">
        <f>SUM(G47:G50)</f>
        <v>3</v>
      </c>
      <c r="H46" s="453">
        <f>SUM(H47:H50)</f>
        <v>0</v>
      </c>
      <c r="I46" s="453">
        <f>J46+Q46+R46+S46</f>
        <v>473</v>
      </c>
      <c r="J46" s="453">
        <f>SUM(K46,N46:P46)</f>
        <v>408</v>
      </c>
      <c r="K46" s="453">
        <f>L46+M46</f>
        <v>323</v>
      </c>
      <c r="L46" s="453">
        <f aca="true" t="shared" si="15" ref="L46:S46">SUM(L47:L50)</f>
        <v>322</v>
      </c>
      <c r="M46" s="453">
        <f t="shared" si="15"/>
        <v>1</v>
      </c>
      <c r="N46" s="453">
        <f t="shared" si="15"/>
        <v>85</v>
      </c>
      <c r="O46" s="453">
        <f t="shared" si="15"/>
        <v>0</v>
      </c>
      <c r="P46" s="453">
        <f t="shared" si="15"/>
        <v>0</v>
      </c>
      <c r="Q46" s="453">
        <f t="shared" si="15"/>
        <v>64</v>
      </c>
      <c r="R46" s="453">
        <f t="shared" si="15"/>
        <v>1</v>
      </c>
      <c r="S46" s="453">
        <f t="shared" si="15"/>
        <v>0</v>
      </c>
      <c r="T46" s="453">
        <f>SUM(N46:S46)</f>
        <v>150</v>
      </c>
      <c r="U46" s="454">
        <f>IF(J46&lt;&gt;0,K46/J46,"")</f>
        <v>0.7916666666666666</v>
      </c>
    </row>
    <row r="47" spans="1:21" s="185" customFormat="1" ht="13.5" customHeight="1">
      <c r="A47" s="268" t="s">
        <v>355</v>
      </c>
      <c r="B47" s="269" t="s">
        <v>359</v>
      </c>
      <c r="C47" s="270"/>
      <c r="D47" s="377">
        <f>E47+F47</f>
        <v>10</v>
      </c>
      <c r="E47" s="270"/>
      <c r="F47" s="270">
        <v>10</v>
      </c>
      <c r="G47" s="270"/>
      <c r="H47" s="270"/>
      <c r="I47" s="377">
        <f>J47+Q47+R47+S47</f>
        <v>10</v>
      </c>
      <c r="J47" s="377">
        <f>SUM(K47,N47:P47)</f>
        <v>10</v>
      </c>
      <c r="K47" s="377">
        <f>L47+M47</f>
        <v>10</v>
      </c>
      <c r="L47" s="270">
        <v>10</v>
      </c>
      <c r="M47" s="270"/>
      <c r="N47" s="270"/>
      <c r="O47" s="270"/>
      <c r="P47" s="271"/>
      <c r="Q47" s="271"/>
      <c r="R47" s="271"/>
      <c r="S47" s="271"/>
      <c r="T47" s="377">
        <f>SUM(N47:S47)</f>
        <v>0</v>
      </c>
      <c r="U47" s="445">
        <f>IF(J47&lt;&gt;0,K47/J47,"")</f>
        <v>1</v>
      </c>
    </row>
    <row r="48" spans="1:21" s="185" customFormat="1" ht="12.75" customHeight="1">
      <c r="A48" s="268" t="s">
        <v>356</v>
      </c>
      <c r="B48" s="269" t="s">
        <v>361</v>
      </c>
      <c r="C48" s="270"/>
      <c r="D48" s="377">
        <f>E48+F48</f>
        <v>146</v>
      </c>
      <c r="E48" s="270">
        <v>40</v>
      </c>
      <c r="F48" s="270">
        <v>106</v>
      </c>
      <c r="G48" s="270">
        <v>1</v>
      </c>
      <c r="H48" s="270"/>
      <c r="I48" s="377">
        <f>J48+Q48+R48+S48</f>
        <v>145</v>
      </c>
      <c r="J48" s="377">
        <f>SUM(K48,N48:P48)</f>
        <v>122</v>
      </c>
      <c r="K48" s="377">
        <f>L48+M48</f>
        <v>105</v>
      </c>
      <c r="L48" s="270">
        <v>104</v>
      </c>
      <c r="M48" s="270">
        <v>1</v>
      </c>
      <c r="N48" s="270">
        <v>17</v>
      </c>
      <c r="O48" s="270"/>
      <c r="P48" s="271"/>
      <c r="Q48" s="271">
        <v>22</v>
      </c>
      <c r="R48" s="271">
        <v>1</v>
      </c>
      <c r="S48" s="271"/>
      <c r="T48" s="377">
        <f>SUM(N48:S48)</f>
        <v>40</v>
      </c>
      <c r="U48" s="445">
        <f>IF(J48&lt;&gt;0,K48/J48,"")</f>
        <v>0.860655737704918</v>
      </c>
    </row>
    <row r="49" spans="1:21" s="185" customFormat="1" ht="12.75" customHeight="1">
      <c r="A49" s="268" t="s">
        <v>357</v>
      </c>
      <c r="B49" s="269" t="s">
        <v>432</v>
      </c>
      <c r="C49" s="270"/>
      <c r="D49" s="377">
        <f>E49+F49</f>
        <v>123</v>
      </c>
      <c r="E49" s="270">
        <v>39</v>
      </c>
      <c r="F49" s="270">
        <v>84</v>
      </c>
      <c r="G49" s="270"/>
      <c r="H49" s="270"/>
      <c r="I49" s="377">
        <f>J49+Q49+R49+S49</f>
        <v>123</v>
      </c>
      <c r="J49" s="377">
        <f>SUM(K49,N49:P49)</f>
        <v>102</v>
      </c>
      <c r="K49" s="377">
        <f>L49+M49</f>
        <v>74</v>
      </c>
      <c r="L49" s="270">
        <v>74</v>
      </c>
      <c r="M49" s="270"/>
      <c r="N49" s="270">
        <v>28</v>
      </c>
      <c r="O49" s="270"/>
      <c r="P49" s="271"/>
      <c r="Q49" s="271">
        <v>21</v>
      </c>
      <c r="R49" s="271"/>
      <c r="S49" s="271"/>
      <c r="T49" s="377">
        <f>SUM(N49:S49)</f>
        <v>49</v>
      </c>
      <c r="U49" s="445">
        <f>IF(J49&lt;&gt;0,K49/J49,"")</f>
        <v>0.7254901960784313</v>
      </c>
    </row>
    <row r="50" spans="1:21" s="185" customFormat="1" ht="13.5" customHeight="1">
      <c r="A50" s="268" t="s">
        <v>358</v>
      </c>
      <c r="B50" s="269" t="s">
        <v>433</v>
      </c>
      <c r="C50" s="270"/>
      <c r="D50" s="377">
        <f>E50+F50</f>
        <v>197</v>
      </c>
      <c r="E50" s="270">
        <v>58</v>
      </c>
      <c r="F50" s="270">
        <v>139</v>
      </c>
      <c r="G50" s="270">
        <v>2</v>
      </c>
      <c r="H50" s="270"/>
      <c r="I50" s="377">
        <f>J50+Q50+R50+S50</f>
        <v>195</v>
      </c>
      <c r="J50" s="377">
        <f>SUM(K50,N50:P50)</f>
        <v>174</v>
      </c>
      <c r="K50" s="377">
        <f>L50+M50</f>
        <v>134</v>
      </c>
      <c r="L50" s="270">
        <v>134</v>
      </c>
      <c r="M50" s="270"/>
      <c r="N50" s="270">
        <v>40</v>
      </c>
      <c r="O50" s="270"/>
      <c r="P50" s="271"/>
      <c r="Q50" s="271">
        <v>21</v>
      </c>
      <c r="R50" s="271"/>
      <c r="S50" s="271"/>
      <c r="T50" s="377">
        <f>SUM(N50:S50)</f>
        <v>61</v>
      </c>
      <c r="U50" s="445">
        <f>IF(J50&lt;&gt;0,K50/J50,"")</f>
        <v>0.7701149425287356</v>
      </c>
    </row>
    <row r="51" spans="1:21" s="185" customFormat="1" ht="13.5" customHeight="1">
      <c r="A51" s="266" t="s">
        <v>23</v>
      </c>
      <c r="B51" s="267" t="s">
        <v>348</v>
      </c>
      <c r="C51" s="453">
        <v>246</v>
      </c>
      <c r="D51" s="453">
        <f>E51+F51</f>
        <v>373</v>
      </c>
      <c r="E51" s="453">
        <f>SUM(E52:E54)</f>
        <v>110</v>
      </c>
      <c r="F51" s="453">
        <f>SUM(F52:F54)</f>
        <v>263</v>
      </c>
      <c r="G51" s="453">
        <f>SUM(G52:G54)</f>
        <v>0</v>
      </c>
      <c r="H51" s="453">
        <f>SUM(H52:H77)</f>
        <v>0</v>
      </c>
      <c r="I51" s="453">
        <f>J51+Q51+R51+S51</f>
        <v>373</v>
      </c>
      <c r="J51" s="453">
        <f>SUM(K51,N51:P51)</f>
        <v>302</v>
      </c>
      <c r="K51" s="453">
        <f>L51+M51</f>
        <v>230</v>
      </c>
      <c r="L51" s="453">
        <f>SUM(L52:L54)</f>
        <v>228</v>
      </c>
      <c r="M51" s="453">
        <f>SUM(M52:M54)</f>
        <v>2</v>
      </c>
      <c r="N51" s="453">
        <f>SUM(N52:N54)</f>
        <v>71</v>
      </c>
      <c r="O51" s="453">
        <f>SUM(O52:O54)</f>
        <v>1</v>
      </c>
      <c r="P51" s="453">
        <f>SUM(P52:P54)</f>
        <v>0</v>
      </c>
      <c r="Q51" s="453">
        <f>SUM(Q52:Q54)</f>
        <v>63</v>
      </c>
      <c r="R51" s="453">
        <f>SUM(R52:R54)</f>
        <v>8</v>
      </c>
      <c r="S51" s="453">
        <f>SUM(S52:S54)</f>
        <v>0</v>
      </c>
      <c r="T51" s="453">
        <f>SUM(N51:S51)</f>
        <v>143</v>
      </c>
      <c r="U51" s="454">
        <f>IF(J51&lt;&gt;0,K51/J51,"")</f>
        <v>0.7615894039735099</v>
      </c>
    </row>
    <row r="52" spans="1:21" s="185" customFormat="1" ht="13.5" customHeight="1">
      <c r="A52" s="268" t="s">
        <v>362</v>
      </c>
      <c r="B52" s="269" t="s">
        <v>445</v>
      </c>
      <c r="C52" s="270"/>
      <c r="D52" s="377">
        <f>E52+F52</f>
        <v>115</v>
      </c>
      <c r="E52" s="270">
        <v>53</v>
      </c>
      <c r="F52" s="270">
        <v>62</v>
      </c>
      <c r="G52" s="270"/>
      <c r="H52" s="270"/>
      <c r="I52" s="377">
        <f>J52+Q52+R52+S52</f>
        <v>115</v>
      </c>
      <c r="J52" s="377">
        <f>SUM(K52,N52:P52)</f>
        <v>74</v>
      </c>
      <c r="K52" s="377">
        <f>L52+M52</f>
        <v>48</v>
      </c>
      <c r="L52" s="270">
        <v>47</v>
      </c>
      <c r="M52" s="270">
        <v>1</v>
      </c>
      <c r="N52" s="270">
        <v>25</v>
      </c>
      <c r="O52" s="270">
        <v>1</v>
      </c>
      <c r="P52" s="271"/>
      <c r="Q52" s="271">
        <v>33</v>
      </c>
      <c r="R52" s="271">
        <v>8</v>
      </c>
      <c r="S52" s="271"/>
      <c r="T52" s="377">
        <f>SUM(N52:S52)</f>
        <v>67</v>
      </c>
      <c r="U52" s="445">
        <f>IF(J52&lt;&gt;0,K52/J52,"")</f>
        <v>0.6486486486486487</v>
      </c>
    </row>
    <row r="53" spans="1:21" s="185" customFormat="1" ht="13.5" customHeight="1">
      <c r="A53" s="268" t="s">
        <v>363</v>
      </c>
      <c r="B53" s="269" t="s">
        <v>365</v>
      </c>
      <c r="C53" s="270"/>
      <c r="D53" s="377">
        <f>E53+F53</f>
        <v>181</v>
      </c>
      <c r="E53" s="270">
        <v>44</v>
      </c>
      <c r="F53" s="270">
        <v>137</v>
      </c>
      <c r="G53" s="270"/>
      <c r="H53" s="270"/>
      <c r="I53" s="377">
        <f>J53+Q53+R53+S53</f>
        <v>181</v>
      </c>
      <c r="J53" s="377">
        <f>SUM(K53,N53:P53)</f>
        <v>154</v>
      </c>
      <c r="K53" s="377">
        <f>L53+M53</f>
        <v>124</v>
      </c>
      <c r="L53" s="270">
        <v>124</v>
      </c>
      <c r="M53" s="270"/>
      <c r="N53" s="270">
        <v>30</v>
      </c>
      <c r="O53" s="270"/>
      <c r="P53" s="271"/>
      <c r="Q53" s="271">
        <v>27</v>
      </c>
      <c r="R53" s="271"/>
      <c r="S53" s="271"/>
      <c r="T53" s="377">
        <f>SUM(N53:S53)</f>
        <v>57</v>
      </c>
      <c r="U53" s="445">
        <f>IF(J53&lt;&gt;0,K53/J53,"")</f>
        <v>0.8051948051948052</v>
      </c>
    </row>
    <row r="54" spans="1:21" s="185" customFormat="1" ht="13.5" customHeight="1">
      <c r="A54" s="268" t="s">
        <v>364</v>
      </c>
      <c r="B54" s="269" t="s">
        <v>450</v>
      </c>
      <c r="C54" s="270"/>
      <c r="D54" s="377">
        <f>E54+F54</f>
        <v>77</v>
      </c>
      <c r="E54" s="270">
        <v>13</v>
      </c>
      <c r="F54" s="270">
        <v>64</v>
      </c>
      <c r="G54" s="270"/>
      <c r="H54" s="270"/>
      <c r="I54" s="377">
        <f>J54+Q54+R54+S54</f>
        <v>77</v>
      </c>
      <c r="J54" s="377">
        <f>SUM(K54,N54:P54)</f>
        <v>74</v>
      </c>
      <c r="K54" s="377">
        <f>L54+M54</f>
        <v>58</v>
      </c>
      <c r="L54" s="270">
        <v>57</v>
      </c>
      <c r="M54" s="270">
        <v>1</v>
      </c>
      <c r="N54" s="270">
        <v>16</v>
      </c>
      <c r="O54" s="270"/>
      <c r="P54" s="271"/>
      <c r="Q54" s="271">
        <v>3</v>
      </c>
      <c r="R54" s="271"/>
      <c r="S54" s="271"/>
      <c r="T54" s="377">
        <f>SUM(N54:S54)</f>
        <v>19</v>
      </c>
      <c r="U54" s="445">
        <f>IF(J54&lt;&gt;0,K54/J54,"")</f>
        <v>0.7837837837837838</v>
      </c>
    </row>
    <row r="55" spans="1:21" s="185" customFormat="1" ht="13.5" customHeight="1">
      <c r="A55" s="266" t="s">
        <v>24</v>
      </c>
      <c r="B55" s="267" t="s">
        <v>349</v>
      </c>
      <c r="C55" s="453">
        <v>89</v>
      </c>
      <c r="D55" s="453">
        <f>E55+F55</f>
        <v>165</v>
      </c>
      <c r="E55" s="453">
        <f>SUM(E56:E57)</f>
        <v>56</v>
      </c>
      <c r="F55" s="453">
        <f>SUM(F56:F57)</f>
        <v>109</v>
      </c>
      <c r="G55" s="453">
        <f>SUM(G56:G57)</f>
        <v>4</v>
      </c>
      <c r="H55" s="453">
        <f>SUM(H56:H57)</f>
        <v>0</v>
      </c>
      <c r="I55" s="453">
        <f>J55+Q55+R55+S55</f>
        <v>161</v>
      </c>
      <c r="J55" s="453">
        <f>SUM(K55,N55:P55)</f>
        <v>137</v>
      </c>
      <c r="K55" s="453">
        <f>L55+M55</f>
        <v>101</v>
      </c>
      <c r="L55" s="453">
        <f aca="true" t="shared" si="16" ref="L55:S55">SUM(L56:L57)</f>
        <v>100</v>
      </c>
      <c r="M55" s="453">
        <f t="shared" si="16"/>
        <v>1</v>
      </c>
      <c r="N55" s="453">
        <f t="shared" si="16"/>
        <v>36</v>
      </c>
      <c r="O55" s="453">
        <f t="shared" si="16"/>
        <v>0</v>
      </c>
      <c r="P55" s="453">
        <f t="shared" si="16"/>
        <v>0</v>
      </c>
      <c r="Q55" s="453">
        <f t="shared" si="16"/>
        <v>24</v>
      </c>
      <c r="R55" s="453">
        <f t="shared" si="16"/>
        <v>0</v>
      </c>
      <c r="S55" s="453">
        <f t="shared" si="16"/>
        <v>0</v>
      </c>
      <c r="T55" s="453">
        <f>SUM(N55:S55)</f>
        <v>60</v>
      </c>
      <c r="U55" s="454">
        <f>IF(J55&lt;&gt;0,K55/J55,"")</f>
        <v>0.7372262773722628</v>
      </c>
    </row>
    <row r="56" spans="1:21" s="185" customFormat="1" ht="13.5" customHeight="1">
      <c r="A56" s="268" t="s">
        <v>351</v>
      </c>
      <c r="B56" s="269" t="s">
        <v>353</v>
      </c>
      <c r="C56" s="270"/>
      <c r="D56" s="377">
        <f>E56+F56</f>
        <v>77</v>
      </c>
      <c r="E56" s="270">
        <v>19</v>
      </c>
      <c r="F56" s="270">
        <v>58</v>
      </c>
      <c r="G56" s="270">
        <v>4</v>
      </c>
      <c r="H56" s="270"/>
      <c r="I56" s="377">
        <f>J56+Q56+R56+S56</f>
        <v>73</v>
      </c>
      <c r="J56" s="377">
        <f>SUM(K56,N56:P56)</f>
        <v>67</v>
      </c>
      <c r="K56" s="377">
        <f>L56+M56</f>
        <v>54</v>
      </c>
      <c r="L56" s="270">
        <v>54</v>
      </c>
      <c r="M56" s="270"/>
      <c r="N56" s="270">
        <v>13</v>
      </c>
      <c r="O56" s="270"/>
      <c r="P56" s="271"/>
      <c r="Q56" s="271">
        <v>6</v>
      </c>
      <c r="R56" s="271"/>
      <c r="S56" s="271"/>
      <c r="T56" s="377">
        <f>SUM(N56:S56)</f>
        <v>19</v>
      </c>
      <c r="U56" s="445">
        <f>IF(J56&lt;&gt;0,K56/J56,"")</f>
        <v>0.8059701492537313</v>
      </c>
    </row>
    <row r="57" spans="1:21" s="185" customFormat="1" ht="13.5" customHeight="1">
      <c r="A57" s="268" t="s">
        <v>352</v>
      </c>
      <c r="B57" s="269" t="s">
        <v>360</v>
      </c>
      <c r="C57" s="270"/>
      <c r="D57" s="377">
        <f>E57+F57</f>
        <v>88</v>
      </c>
      <c r="E57" s="270">
        <v>37</v>
      </c>
      <c r="F57" s="270">
        <v>51</v>
      </c>
      <c r="G57" s="270"/>
      <c r="H57" s="270"/>
      <c r="I57" s="377">
        <f>J57+Q57+R57+S57</f>
        <v>88</v>
      </c>
      <c r="J57" s="377">
        <f>SUM(K57,N57:P57)</f>
        <v>70</v>
      </c>
      <c r="K57" s="377">
        <f>L57+M57</f>
        <v>47</v>
      </c>
      <c r="L57" s="270">
        <v>46</v>
      </c>
      <c r="M57" s="270">
        <v>1</v>
      </c>
      <c r="N57" s="270">
        <v>23</v>
      </c>
      <c r="O57" s="270"/>
      <c r="P57" s="271"/>
      <c r="Q57" s="271">
        <v>18</v>
      </c>
      <c r="R57" s="271"/>
      <c r="S57" s="271"/>
      <c r="T57" s="377">
        <f>SUM(N57:S57)</f>
        <v>41</v>
      </c>
      <c r="U57" s="445">
        <f>IF(J57&lt;&gt;0,K57/J57,"")</f>
        <v>0.6714285714285714</v>
      </c>
    </row>
    <row r="58" spans="1:21" s="185" customFormat="1" ht="13.5" customHeight="1">
      <c r="A58" s="266" t="s">
        <v>25</v>
      </c>
      <c r="B58" s="267" t="s">
        <v>350</v>
      </c>
      <c r="C58" s="453">
        <v>84</v>
      </c>
      <c r="D58" s="453">
        <f>E58+F58</f>
        <v>98</v>
      </c>
      <c r="E58" s="453">
        <f>SUM(E59:E60)</f>
        <v>37</v>
      </c>
      <c r="F58" s="453">
        <f>SUM(F59:F60)</f>
        <v>61</v>
      </c>
      <c r="G58" s="453">
        <f>SUM(G59:G60)</f>
        <v>2</v>
      </c>
      <c r="H58" s="453">
        <f>SUM(H59:H60)</f>
        <v>0</v>
      </c>
      <c r="I58" s="453">
        <f>J58+Q58+R58+S58</f>
        <v>96</v>
      </c>
      <c r="J58" s="453">
        <f>SUM(K58,N58:P58)</f>
        <v>69</v>
      </c>
      <c r="K58" s="453">
        <f>L58+M58</f>
        <v>55</v>
      </c>
      <c r="L58" s="453">
        <f aca="true" t="shared" si="17" ref="L58:S58">SUM(L59:L60)</f>
        <v>55</v>
      </c>
      <c r="M58" s="453">
        <f t="shared" si="17"/>
        <v>0</v>
      </c>
      <c r="N58" s="453">
        <f t="shared" si="17"/>
        <v>14</v>
      </c>
      <c r="O58" s="453">
        <f t="shared" si="17"/>
        <v>0</v>
      </c>
      <c r="P58" s="453">
        <f t="shared" si="17"/>
        <v>0</v>
      </c>
      <c r="Q58" s="453">
        <f t="shared" si="17"/>
        <v>27</v>
      </c>
      <c r="R58" s="453">
        <f t="shared" si="17"/>
        <v>0</v>
      </c>
      <c r="S58" s="453">
        <f t="shared" si="17"/>
        <v>0</v>
      </c>
      <c r="T58" s="453">
        <f>SUM(N58:S58)</f>
        <v>41</v>
      </c>
      <c r="U58" s="454">
        <f>IF(J58&lt;&gt;0,K58/J58,"")</f>
        <v>0.7971014492753623</v>
      </c>
    </row>
    <row r="59" spans="1:21" s="185" customFormat="1" ht="13.5" customHeight="1">
      <c r="A59" s="268" t="s">
        <v>367</v>
      </c>
      <c r="B59" s="269" t="s">
        <v>430</v>
      </c>
      <c r="C59" s="270"/>
      <c r="D59" s="377">
        <f>E59+F59</f>
        <v>34</v>
      </c>
      <c r="E59" s="270">
        <v>11</v>
      </c>
      <c r="F59" s="270">
        <v>23</v>
      </c>
      <c r="G59" s="270"/>
      <c r="H59" s="270"/>
      <c r="I59" s="377">
        <f>J59+Q59+R59+S59</f>
        <v>34</v>
      </c>
      <c r="J59" s="377">
        <f>SUM(K59,N59:P59)</f>
        <v>24</v>
      </c>
      <c r="K59" s="377">
        <f>L59+M59</f>
        <v>19</v>
      </c>
      <c r="L59" s="270">
        <v>19</v>
      </c>
      <c r="M59" s="270"/>
      <c r="N59" s="270">
        <v>5</v>
      </c>
      <c r="O59" s="270"/>
      <c r="P59" s="271"/>
      <c r="Q59" s="271">
        <v>10</v>
      </c>
      <c r="R59" s="271"/>
      <c r="S59" s="271"/>
      <c r="T59" s="377">
        <f>SUM(N59:S59)</f>
        <v>15</v>
      </c>
      <c r="U59" s="445">
        <f>IF(J59&lt;&gt;0,K59/J59,"")</f>
        <v>0.7916666666666666</v>
      </c>
    </row>
    <row r="60" spans="1:21" s="185" customFormat="1" ht="18" customHeight="1">
      <c r="A60" s="401" t="s">
        <v>368</v>
      </c>
      <c r="B60" s="269" t="s">
        <v>366</v>
      </c>
      <c r="C60" s="270"/>
      <c r="D60" s="377">
        <f>E60+F60</f>
        <v>64</v>
      </c>
      <c r="E60" s="270">
        <v>26</v>
      </c>
      <c r="F60" s="270">
        <v>38</v>
      </c>
      <c r="G60" s="270">
        <v>2</v>
      </c>
      <c r="H60" s="270"/>
      <c r="I60" s="377">
        <f>J60+Q60+R60+S60</f>
        <v>62</v>
      </c>
      <c r="J60" s="377">
        <f>SUM(K60,N60:P60)</f>
        <v>45</v>
      </c>
      <c r="K60" s="377">
        <f>L60+M60</f>
        <v>36</v>
      </c>
      <c r="L60" s="270">
        <v>36</v>
      </c>
      <c r="M60" s="270"/>
      <c r="N60" s="270">
        <v>9</v>
      </c>
      <c r="O60" s="270"/>
      <c r="P60" s="271"/>
      <c r="Q60" s="271">
        <v>17</v>
      </c>
      <c r="R60" s="271"/>
      <c r="S60" s="271"/>
      <c r="T60" s="377">
        <f>SUM(N60:S60)</f>
        <v>26</v>
      </c>
      <c r="U60" s="445">
        <f>IF(J60&lt;&gt;0,K60/J60,"")</f>
        <v>0.8</v>
      </c>
    </row>
    <row r="61" spans="1:21" s="185" customFormat="1" ht="13.5" customHeight="1">
      <c r="A61" s="402"/>
      <c r="B61" s="403"/>
      <c r="C61" s="447"/>
      <c r="D61" s="448"/>
      <c r="E61" s="447"/>
      <c r="F61" s="447"/>
      <c r="G61" s="447"/>
      <c r="H61" s="447"/>
      <c r="I61" s="448"/>
      <c r="J61" s="448"/>
      <c r="K61" s="448"/>
      <c r="L61" s="447"/>
      <c r="M61" s="447"/>
      <c r="N61" s="447"/>
      <c r="O61" s="447"/>
      <c r="P61" s="449"/>
      <c r="Q61" s="449"/>
      <c r="R61" s="449"/>
      <c r="S61" s="449"/>
      <c r="T61" s="448"/>
      <c r="U61" s="450"/>
    </row>
    <row r="62" spans="1:21" s="5" customFormat="1" ht="18" customHeight="1">
      <c r="A62" s="604" t="str">
        <f>TT!C7</f>
        <v>Tuyên Quang, ngày 4 tháng 5 năm 2022</v>
      </c>
      <c r="B62" s="605"/>
      <c r="C62" s="605"/>
      <c r="D62" s="605"/>
      <c r="E62" s="605"/>
      <c r="F62" s="247"/>
      <c r="G62" s="247"/>
      <c r="H62" s="247"/>
      <c r="I62" s="246"/>
      <c r="J62" s="246"/>
      <c r="K62" s="246"/>
      <c r="L62" s="246"/>
      <c r="M62" s="246"/>
      <c r="N62" s="606" t="str">
        <f>TT!C4</f>
        <v>Tuyên Quang, ngày 4 tháng 5 năm 2022</v>
      </c>
      <c r="O62" s="607"/>
      <c r="P62" s="607"/>
      <c r="Q62" s="607"/>
      <c r="R62" s="607"/>
      <c r="S62" s="607"/>
      <c r="T62" s="607"/>
      <c r="U62" s="607"/>
    </row>
    <row r="63" spans="1:21" ht="15.75" customHeight="1">
      <c r="A63" s="523" t="s">
        <v>290</v>
      </c>
      <c r="B63" s="524"/>
      <c r="C63" s="524"/>
      <c r="D63" s="524"/>
      <c r="E63" s="524"/>
      <c r="F63" s="247"/>
      <c r="G63" s="247"/>
      <c r="H63" s="247"/>
      <c r="I63" s="182"/>
      <c r="J63" s="182"/>
      <c r="K63" s="182"/>
      <c r="L63" s="182"/>
      <c r="M63" s="182"/>
      <c r="N63" s="525" t="str">
        <f>TT!C5</f>
        <v>CỤC TRƯỞNG</v>
      </c>
      <c r="O63" s="525"/>
      <c r="P63" s="525"/>
      <c r="Q63" s="525"/>
      <c r="R63" s="525"/>
      <c r="S63" s="525"/>
      <c r="T63" s="525"/>
      <c r="U63" s="525"/>
    </row>
    <row r="64" spans="1:21" ht="57.75" customHeight="1">
      <c r="A64" s="248"/>
      <c r="B64" s="248"/>
      <c r="C64" s="248"/>
      <c r="D64" s="248"/>
      <c r="E64" s="248"/>
      <c r="F64" s="176"/>
      <c r="G64" s="176"/>
      <c r="H64" s="176"/>
      <c r="I64" s="182"/>
      <c r="J64" s="182"/>
      <c r="K64" s="182"/>
      <c r="L64" s="182"/>
      <c r="M64" s="182"/>
      <c r="N64" s="182"/>
      <c r="O64" s="182"/>
      <c r="P64" s="176"/>
      <c r="Q64" s="249"/>
      <c r="R64" s="176"/>
      <c r="S64" s="182"/>
      <c r="T64" s="178"/>
      <c r="U64" s="178"/>
    </row>
    <row r="65" spans="1:21" ht="15.75" customHeight="1">
      <c r="A65" s="526" t="str">
        <f>TT!C6</f>
        <v>Hà Thị Mai</v>
      </c>
      <c r="B65" s="526"/>
      <c r="C65" s="526"/>
      <c r="D65" s="526"/>
      <c r="E65" s="526"/>
      <c r="F65" s="250" t="s">
        <v>2</v>
      </c>
      <c r="G65" s="250"/>
      <c r="H65" s="250"/>
      <c r="I65" s="250"/>
      <c r="J65" s="250"/>
      <c r="K65" s="250"/>
      <c r="L65" s="250"/>
      <c r="M65" s="250"/>
      <c r="N65" s="527" t="str">
        <f>TT!C3</f>
        <v>Nguyễn Tuyên</v>
      </c>
      <c r="O65" s="527"/>
      <c r="P65" s="527"/>
      <c r="Q65" s="527"/>
      <c r="R65" s="527"/>
      <c r="S65" s="527"/>
      <c r="T65" s="527"/>
      <c r="U65" s="527"/>
    </row>
    <row r="66" spans="1:21" ht="15.75">
      <c r="A66" s="250"/>
      <c r="B66" s="250"/>
      <c r="C66" s="250"/>
      <c r="D66" s="250"/>
      <c r="E66" s="250"/>
      <c r="F66" s="250"/>
      <c r="G66" s="250"/>
      <c r="H66" s="250"/>
      <c r="I66" s="250"/>
      <c r="J66" s="250"/>
      <c r="K66" s="250"/>
      <c r="L66" s="250"/>
      <c r="M66" s="250"/>
      <c r="N66" s="263"/>
      <c r="O66" s="263"/>
      <c r="P66" s="263"/>
      <c r="Q66" s="263"/>
      <c r="R66" s="263"/>
      <c r="S66" s="263"/>
      <c r="T66" s="263"/>
      <c r="U66" s="263"/>
    </row>
  </sheetData>
  <sheetProtection formatCells="0" formatColumns="0" formatRows="0" insertRows="0" deleteRows="0"/>
  <mergeCells count="35">
    <mergeCell ref="A62:E62"/>
    <mergeCell ref="N62:U62"/>
    <mergeCell ref="A63:E63"/>
    <mergeCell ref="N63:U63"/>
    <mergeCell ref="A65:E65"/>
    <mergeCell ref="N65:U65"/>
    <mergeCell ref="A8:B8"/>
    <mergeCell ref="S4:S7"/>
    <mergeCell ref="H3:H7"/>
    <mergeCell ref="A9:B9"/>
    <mergeCell ref="P5:P7"/>
    <mergeCell ref="F4:F7"/>
    <mergeCell ref="E4:E7"/>
    <mergeCell ref="B3:B7"/>
    <mergeCell ref="J3:S3"/>
    <mergeCell ref="K5:K7"/>
    <mergeCell ref="L5:M6"/>
    <mergeCell ref="N5:N7"/>
    <mergeCell ref="I3:I7"/>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2022-05-04T08:27:38Z</cp:lastPrinted>
  <dcterms:created xsi:type="dcterms:W3CDTF">2004-03-07T02:36:29Z</dcterms:created>
  <dcterms:modified xsi:type="dcterms:W3CDTF">2022-05-05T00:57:41Z</dcterms:modified>
  <cp:category/>
  <cp:version/>
  <cp:contentType/>
  <cp:contentStatus/>
</cp:coreProperties>
</file>